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11" activeTab="18"/>
  </bookViews>
  <sheets>
    <sheet name="Sheet1" sheetId="1" r:id="rId1"/>
    <sheet name="Sheet2" sheetId="2" r:id="rId2"/>
    <sheet name="Illustration 6" sheetId="3" r:id="rId3"/>
    <sheet name="Sheet3" sheetId="4" r:id="rId4"/>
    <sheet name="Sheet4" sheetId="5" r:id="rId5"/>
    <sheet name="Sheet5" sheetId="6" r:id="rId6"/>
    <sheet name="3rd BBA" sheetId="7" r:id="rId7"/>
    <sheet name="redumption " sheetId="8" r:id="rId8"/>
    <sheet name="b.COM" sheetId="9" r:id="rId9"/>
    <sheet name="Accounting equation" sheetId="10" r:id="rId10"/>
    <sheet name="Accounting equation p" sheetId="11" r:id="rId11"/>
    <sheet name="Sheet6" sheetId="12" r:id="rId12"/>
    <sheet name="Sheet7" sheetId="13" r:id="rId13"/>
    <sheet name="PArtnership" sheetId="14" r:id="rId14"/>
    <sheet name="Sheet8" sheetId="15" r:id="rId15"/>
    <sheet name="JOURNAL" sheetId="16" r:id="rId16"/>
    <sheet name="j p-2" sheetId="17" r:id="rId17"/>
    <sheet name="ledger" sheetId="18" r:id="rId18"/>
    <sheet name="Trial balace" sheetId="19" r:id="rId19"/>
    <sheet name="Sheet9" sheetId="20" r:id="rId20"/>
  </sheets>
  <calcPr calcId="124519"/>
</workbook>
</file>

<file path=xl/calcChain.xml><?xml version="1.0" encoding="utf-8"?>
<calcChain xmlns="http://schemas.openxmlformats.org/spreadsheetml/2006/main">
  <c r="G27" i="19"/>
  <c r="F27"/>
  <c r="G101" i="18"/>
  <c r="L95"/>
  <c r="L67"/>
  <c r="G17"/>
  <c r="L13"/>
  <c r="G15"/>
  <c r="G9"/>
  <c r="L9"/>
  <c r="E32" i="17"/>
  <c r="E33"/>
  <c r="D54"/>
  <c r="D55"/>
  <c r="F32"/>
  <c r="E22" i="15"/>
  <c r="E21"/>
  <c r="O123" i="11" l="1"/>
  <c r="O128"/>
  <c r="N128"/>
  <c r="P123"/>
  <c r="N137"/>
  <c r="B126"/>
  <c r="O106"/>
  <c r="N106"/>
  <c r="J98"/>
  <c r="C98"/>
  <c r="K77"/>
  <c r="K76"/>
  <c r="F43" i="13"/>
  <c r="F42"/>
  <c r="K68" i="11"/>
  <c r="I68"/>
  <c r="F68"/>
  <c r="D68"/>
  <c r="B67"/>
  <c r="K66"/>
  <c r="I66"/>
  <c r="F66"/>
  <c r="D66"/>
  <c r="B66"/>
  <c r="K64"/>
  <c r="I64"/>
  <c r="F64"/>
  <c r="D64"/>
  <c r="B64"/>
  <c r="K62"/>
  <c r="I62"/>
  <c r="F62"/>
  <c r="D62"/>
  <c r="K60"/>
  <c r="I60"/>
  <c r="D60"/>
  <c r="B60"/>
  <c r="B62" s="1"/>
  <c r="K58"/>
  <c r="D58"/>
  <c r="B58"/>
  <c r="K56"/>
  <c r="D56"/>
  <c r="B56"/>
  <c r="K54"/>
  <c r="D54"/>
  <c r="B54"/>
  <c r="K52"/>
  <c r="B52"/>
  <c r="D52"/>
  <c r="B50"/>
  <c r="D48"/>
  <c r="B44"/>
  <c r="B46" s="1"/>
  <c r="K35"/>
  <c r="E35"/>
  <c r="B35"/>
  <c r="K33"/>
  <c r="E33"/>
  <c r="B33"/>
  <c r="K31"/>
  <c r="E31"/>
  <c r="B31"/>
  <c r="F29"/>
  <c r="B29"/>
  <c r="B27"/>
  <c r="K25"/>
  <c r="E25"/>
  <c r="E23"/>
  <c r="B21"/>
  <c r="E21"/>
  <c r="K21"/>
  <c r="K20"/>
  <c r="B20"/>
  <c r="E20"/>
  <c r="K42" i="8"/>
  <c r="J41"/>
  <c r="K37"/>
  <c r="J36"/>
  <c r="K32"/>
  <c r="J31"/>
  <c r="K28"/>
  <c r="K27"/>
  <c r="J26"/>
  <c r="K22"/>
  <c r="J21"/>
  <c r="K16"/>
  <c r="J15"/>
  <c r="K12"/>
  <c r="J11"/>
  <c r="E48"/>
  <c r="D47"/>
  <c r="E39"/>
  <c r="D38"/>
  <c r="E34"/>
  <c r="D33"/>
  <c r="E31"/>
  <c r="E30"/>
  <c r="D29"/>
  <c r="E22"/>
  <c r="D21"/>
  <c r="E16"/>
  <c r="D15"/>
  <c r="E12"/>
  <c r="D11"/>
  <c r="D10" i="9"/>
  <c r="E11"/>
  <c r="B35"/>
  <c r="C35" s="1"/>
  <c r="B36"/>
  <c r="D36" s="1"/>
  <c r="K13" i="7"/>
  <c r="Q22"/>
  <c r="B18" i="11"/>
  <c r="B19" s="1"/>
  <c r="B17"/>
  <c r="B16"/>
  <c r="B14"/>
  <c r="D51" i="7"/>
  <c r="D50"/>
  <c r="E42"/>
  <c r="D41"/>
  <c r="D14"/>
  <c r="D13"/>
  <c r="E6"/>
  <c r="D5"/>
  <c r="K7" i="8"/>
  <c r="K5"/>
  <c r="D23" i="3"/>
  <c r="N23"/>
  <c r="N21"/>
  <c r="D17"/>
  <c r="M18"/>
  <c r="D16"/>
  <c r="E18"/>
  <c r="E13"/>
  <c r="D12"/>
  <c r="N5"/>
  <c r="E8"/>
  <c r="L8"/>
  <c r="L6"/>
  <c r="L5"/>
  <c r="B68" i="11" l="1"/>
</calcChain>
</file>

<file path=xl/sharedStrings.xml><?xml version="1.0" encoding="utf-8"?>
<sst xmlns="http://schemas.openxmlformats.org/spreadsheetml/2006/main" count="1054" uniqueCount="620">
  <si>
    <t>Share issue at Par</t>
  </si>
  <si>
    <t>Date</t>
  </si>
  <si>
    <t>Details</t>
  </si>
  <si>
    <t>L.F</t>
  </si>
  <si>
    <t>Dr.</t>
  </si>
  <si>
    <t>Cr.</t>
  </si>
  <si>
    <t>Share issue on Premium</t>
  </si>
  <si>
    <t>Share issue on discount</t>
  </si>
  <si>
    <t>Bank Dr.</t>
  </si>
  <si>
    <t xml:space="preserve">          Share Application Cr.</t>
  </si>
  <si>
    <t>( Share Application received)</t>
  </si>
  <si>
    <t>Share Application</t>
  </si>
  <si>
    <t xml:space="preserve">          Share Capital Cr.</t>
  </si>
  <si>
    <t>Share Issued to public</t>
  </si>
  <si>
    <t>Share application Dr.</t>
  </si>
  <si>
    <t xml:space="preserve">           bank Cr.</t>
  </si>
  <si>
    <t>Share application refund</t>
  </si>
  <si>
    <t xml:space="preserve">      share Premium Cr.</t>
  </si>
  <si>
    <t>(share issued to public)</t>
  </si>
  <si>
    <t>Discount on share Dr.</t>
  </si>
  <si>
    <t xml:space="preserve">            Share Capital  Cr.</t>
  </si>
  <si>
    <t>Share issue at Premium</t>
  </si>
  <si>
    <t>Share issue at discount</t>
  </si>
  <si>
    <t xml:space="preserve">  Share Capital  Cr.</t>
  </si>
  <si>
    <t>Bank  Dr.</t>
  </si>
  <si>
    <t xml:space="preserve">    Share Capital Cr.</t>
  </si>
  <si>
    <t xml:space="preserve">   Share Premium  Cr.</t>
  </si>
  <si>
    <t>Discount on shares Dr.</t>
  </si>
  <si>
    <t xml:space="preserve">share issued </t>
  </si>
  <si>
    <t>Discount Dr.</t>
  </si>
  <si>
    <t xml:space="preserve">      Share Capial Cr.</t>
  </si>
  <si>
    <t>Discount</t>
  </si>
  <si>
    <t>Share price</t>
  </si>
  <si>
    <t>share isued</t>
  </si>
  <si>
    <t>Shares</t>
  </si>
  <si>
    <t>Share issed to Directors on discount</t>
  </si>
  <si>
    <t>share issued to public on discount</t>
  </si>
  <si>
    <t>underwritters</t>
  </si>
  <si>
    <t>Share issed to underwitters on discount</t>
  </si>
  <si>
    <t>Financial Statements</t>
  </si>
  <si>
    <t>Statement of financial position</t>
  </si>
  <si>
    <t>statement of Profit &amp; loss and other income</t>
  </si>
  <si>
    <t>Statement of Cash Flow</t>
  </si>
  <si>
    <t>Statement of changes in Equity</t>
  </si>
  <si>
    <t>Notes</t>
  </si>
  <si>
    <t>A/R… A/p… Land,,, Building ,, machinary,, furniture,,. Capital,,,,</t>
  </si>
  <si>
    <t>Expenses VS Income,,,,,,,, Profit or Loss Calculate</t>
  </si>
  <si>
    <t xml:space="preserve">Cash Inflow VS Cash Outflow </t>
  </si>
  <si>
    <t>Owners investment…. Distributred profit/ loss…</t>
  </si>
  <si>
    <t>Detail of every transaction</t>
  </si>
  <si>
    <t>Elements of Financial Statements</t>
  </si>
  <si>
    <t>Assets</t>
  </si>
  <si>
    <t>resource Controlled by an entity</t>
  </si>
  <si>
    <t>as a result of past event</t>
  </si>
  <si>
    <t xml:space="preserve">future economic benefits are associated </t>
  </si>
  <si>
    <t>Land,, Building,,, Machinary,,, palnt,,, vehicles,,, A/R,, Cash ,, Bank Balance</t>
  </si>
  <si>
    <t>Liabilities</t>
  </si>
  <si>
    <t>Present obligation of  an entity</t>
  </si>
  <si>
    <t>arrising from the past event</t>
  </si>
  <si>
    <t>Cash outflow is expecteded in future in order to settled.</t>
  </si>
  <si>
    <t>A/P ,,,,,,,  Bank Loan,,,, short/ long term loan</t>
  </si>
  <si>
    <t>Owner Equity</t>
  </si>
  <si>
    <t>Amount or anything else invest by owner</t>
  </si>
  <si>
    <t>Another name of owner equity is Capital</t>
  </si>
  <si>
    <t>Income</t>
  </si>
  <si>
    <t xml:space="preserve">it includes sales revenue, fee, rental income </t>
  </si>
  <si>
    <t>Expenses</t>
  </si>
  <si>
    <t>cost of sale and oprating expenses</t>
  </si>
  <si>
    <t>expenses are arrised from the  normal course of activity</t>
  </si>
  <si>
    <t>Accounting Concepts</t>
  </si>
  <si>
    <t>1)</t>
  </si>
  <si>
    <t>Seprate Entity Concept</t>
  </si>
  <si>
    <t>Business has a seprate entity from its owner</t>
  </si>
  <si>
    <t>Business Can sue or can be sued itself</t>
  </si>
  <si>
    <t>Accrual Basis</t>
  </si>
  <si>
    <t>Transactions are recorded when they occurred .</t>
  </si>
  <si>
    <t>Not only at the time of cash recipts &amp; Payments</t>
  </si>
  <si>
    <t>Cash Basis</t>
  </si>
  <si>
    <t>TrAnsactions are recorded when CASH RECEIPTS AND PAYMENT MADE.</t>
  </si>
  <si>
    <t>Cost Principle</t>
  </si>
  <si>
    <t>Transactions are recorded at the historical cost.</t>
  </si>
  <si>
    <t xml:space="preserve"> Machinary          invoice 1000,,, frieght charges,,, 200 = 1200</t>
  </si>
  <si>
    <t>objectivity Principle</t>
  </si>
  <si>
    <r>
      <t xml:space="preserve">transaction are recorded after verifing </t>
    </r>
    <r>
      <rPr>
        <b/>
        <sz val="11"/>
        <color theme="1"/>
        <rFont val="Calibri"/>
        <family val="2"/>
        <scheme val="minor"/>
      </rPr>
      <t>Voche</t>
    </r>
    <r>
      <rPr>
        <sz val="11"/>
        <color theme="1"/>
        <rFont val="Calibri"/>
        <family val="2"/>
        <scheme val="minor"/>
      </rPr>
      <t xml:space="preserve">r and using </t>
    </r>
    <r>
      <rPr>
        <b/>
        <sz val="11"/>
        <color theme="1"/>
        <rFont val="Calibri"/>
        <family val="2"/>
        <scheme val="minor"/>
      </rPr>
      <t>professional judgement</t>
    </r>
  </si>
  <si>
    <r>
      <t>Businesss wil</t>
    </r>
    <r>
      <rPr>
        <b/>
        <sz val="11"/>
        <color theme="1"/>
        <rFont val="Calibri"/>
        <family val="2"/>
        <scheme val="minor"/>
      </rPr>
      <t>l continu</t>
    </r>
    <r>
      <rPr>
        <sz val="11"/>
        <color theme="1"/>
        <rFont val="Calibri"/>
        <family val="2"/>
        <scheme val="minor"/>
      </rPr>
      <t xml:space="preserve">e its operations for </t>
    </r>
    <r>
      <rPr>
        <b/>
        <sz val="11"/>
        <color theme="1"/>
        <rFont val="Calibri"/>
        <family val="2"/>
        <scheme val="minor"/>
      </rPr>
      <t xml:space="preserve">infinit time </t>
    </r>
    <r>
      <rPr>
        <sz val="11"/>
        <color theme="1"/>
        <rFont val="Calibri"/>
        <family val="2"/>
        <scheme val="minor"/>
      </rPr>
      <t>period.</t>
    </r>
  </si>
  <si>
    <t>Materiality Concept</t>
  </si>
  <si>
    <t>The amount which effects the decision of the users of financial statements</t>
  </si>
  <si>
    <t>Debentures issue at Par</t>
  </si>
  <si>
    <t>Debentures issue at Premium</t>
  </si>
  <si>
    <t xml:space="preserve">     Debentures  Cr.</t>
  </si>
  <si>
    <t xml:space="preserve">  premium on debentures  r.</t>
  </si>
  <si>
    <t xml:space="preserve"> ( which helps to improve economic benefits)</t>
  </si>
  <si>
    <t>anything invested by owner in business</t>
  </si>
  <si>
    <t>Earning arising from the normal course of activity..</t>
  </si>
  <si>
    <t>Once an entity adopt any method will not change it time to time.</t>
  </si>
  <si>
    <t>Consistency  Principles</t>
  </si>
  <si>
    <t>Stable Dollar Assumption</t>
  </si>
  <si>
    <t>Going Concern Assumption</t>
  </si>
  <si>
    <t>Value of Currency will not be changed after recording trasaction.</t>
  </si>
  <si>
    <t>Realization Principle</t>
  </si>
  <si>
    <t>When expenses are incured and income is earned it will be recorded.</t>
  </si>
  <si>
    <t>Time Period Principle</t>
  </si>
  <si>
    <t xml:space="preserve">length of time in which we campare income and expenses   ( every year) </t>
  </si>
  <si>
    <t>Conservative Principle/ Prudence</t>
  </si>
  <si>
    <r>
      <rPr>
        <b/>
        <sz val="12"/>
        <color theme="1"/>
        <rFont val="Calibri"/>
        <family val="2"/>
        <scheme val="minor"/>
      </rPr>
      <t>expenses</t>
    </r>
    <r>
      <rPr>
        <sz val="12"/>
        <color theme="1"/>
        <rFont val="Calibri"/>
        <family val="2"/>
        <scheme val="minor"/>
      </rPr>
      <t xml:space="preserve"> are recorded in </t>
    </r>
    <r>
      <rPr>
        <b/>
        <sz val="12"/>
        <color theme="1"/>
        <rFont val="Calibri"/>
        <family val="2"/>
        <scheme val="minor"/>
      </rPr>
      <t>overstated</t>
    </r>
    <r>
      <rPr>
        <sz val="12"/>
        <color theme="1"/>
        <rFont val="Calibri"/>
        <family val="2"/>
        <scheme val="minor"/>
      </rPr>
      <t xml:space="preserve"> value and</t>
    </r>
    <r>
      <rPr>
        <b/>
        <sz val="12"/>
        <color theme="1"/>
        <rFont val="Calibri"/>
        <family val="2"/>
        <scheme val="minor"/>
      </rPr>
      <t xml:space="preserve"> income</t>
    </r>
    <r>
      <rPr>
        <sz val="12"/>
        <color theme="1"/>
        <rFont val="Calibri"/>
        <family val="2"/>
        <scheme val="minor"/>
      </rPr>
      <t xml:space="preserve"> is recorded in</t>
    </r>
    <r>
      <rPr>
        <b/>
        <sz val="12"/>
        <color theme="1"/>
        <rFont val="Calibri"/>
        <family val="2"/>
        <scheme val="minor"/>
      </rPr>
      <t xml:space="preserve"> understated</t>
    </r>
    <r>
      <rPr>
        <sz val="12"/>
        <color theme="1"/>
        <rFont val="Calibri"/>
        <family val="2"/>
        <scheme val="minor"/>
      </rPr>
      <t xml:space="preserve"> value</t>
    </r>
  </si>
  <si>
    <t>Shares issed in consideration other than cash</t>
  </si>
  <si>
    <t>Machinary</t>
  </si>
  <si>
    <t xml:space="preserve">Building </t>
  </si>
  <si>
    <t>Goodwill</t>
  </si>
  <si>
    <t xml:space="preserve">              bank Loan</t>
  </si>
  <si>
    <t xml:space="preserve">           Zulfqar Bros</t>
  </si>
  <si>
    <t>Acquired Business From Zulfqar bros</t>
  </si>
  <si>
    <t>shares</t>
  </si>
  <si>
    <t>par value</t>
  </si>
  <si>
    <t>Net assets</t>
  </si>
  <si>
    <t xml:space="preserve"> Zulfqar Bros  Dr.</t>
  </si>
  <si>
    <t xml:space="preserve">   share Capital  32000*10</t>
  </si>
  <si>
    <t>Shares issued at discount</t>
  </si>
  <si>
    <t>Debetures issue on discount</t>
  </si>
  <si>
    <t>issue Debetures on Premium</t>
  </si>
  <si>
    <t>issue Debetures at Par</t>
  </si>
  <si>
    <t xml:space="preserve">  8 % Debetures Cr.</t>
  </si>
  <si>
    <t xml:space="preserve">    Premium on debentures</t>
  </si>
  <si>
    <t>Discount on Debentures Dr.</t>
  </si>
  <si>
    <t xml:space="preserve">     8 % Debetures Cr.</t>
  </si>
  <si>
    <t>When goods/merchandize/stock/inventory is sold to customer is called sales.</t>
  </si>
  <si>
    <t>Sales/ Revenue</t>
  </si>
  <si>
    <t>1) Cash Sales</t>
  </si>
  <si>
    <t>2) Credit Sales</t>
  </si>
  <si>
    <t>Sales in which Cash is involved</t>
  </si>
  <si>
    <t>Sales in which Cash is not involved</t>
  </si>
  <si>
    <t xml:space="preserve">Discount </t>
  </si>
  <si>
    <t>Any rebate/ concession given by the seller to buyer.</t>
  </si>
  <si>
    <t>1) Trade Discount</t>
  </si>
  <si>
    <t xml:space="preserve">            NO ACCOUNTING FOR TRADE DISCOUNT </t>
  </si>
  <si>
    <t xml:space="preserve">2) Cash Discount </t>
  </si>
  <si>
    <t>Any discount which is given OR taken at the time of payment OR receipt of cash.  ( Cash dicount is considered in accounting )</t>
  </si>
  <si>
    <t>Trade discount is a discount which is given OR taken at the time of sale OR purchase of goods/stock/inventory/merchandize</t>
  </si>
  <si>
    <t>3) Discount Allowed</t>
  </si>
  <si>
    <t>4) Discount Received</t>
  </si>
  <si>
    <t>Any discount that our business given /offer to customer. Discount given by business.         ---  Expense</t>
  </si>
  <si>
    <t>Any discount that we received/taken from seller .         Income</t>
  </si>
  <si>
    <t>Purchases</t>
  </si>
  <si>
    <t>When we purchase goods/inventory /merchandize/stock  for resale purpose is called purchases.</t>
  </si>
  <si>
    <t>1) Cash Purchase</t>
  </si>
  <si>
    <t>2) Credit Purchases</t>
  </si>
  <si>
    <t>Cash involved</t>
  </si>
  <si>
    <t>Cash is not involved</t>
  </si>
  <si>
    <t>When we purchase any item which is not for resale purpose , but for use in business to generate any economic benefit,,ownership</t>
  </si>
  <si>
    <t xml:space="preserve"> Defective or not as per standard goods/stock may be returned to supplier.   ( Credit purchase)</t>
  </si>
  <si>
    <t>Purchase Return/Return outward</t>
  </si>
  <si>
    <t>Defective or not as per standard goods/stock may be returned by customer  ( Credit Sales)</t>
  </si>
  <si>
    <t>Sale Return/ Return inward</t>
  </si>
  <si>
    <t>Drawing</t>
  </si>
  <si>
    <t>Cash or goods taken away by the owner for his/her personal use is called  Drawings</t>
  </si>
  <si>
    <t>Proft</t>
  </si>
  <si>
    <t>Income VS Expenses                      Income &gt; Expense = profit</t>
  </si>
  <si>
    <t>Loss</t>
  </si>
  <si>
    <t>Income VS Expenses                      Income &lt; Expense = Loss</t>
  </si>
  <si>
    <t>Time Period Concept</t>
  </si>
  <si>
    <t>Those assets whose benefit may be taken within a year/ which can help to generate economic benefit for business not longer than a period</t>
  </si>
  <si>
    <t>A specific interval in which we match our expenses and income.  I.e  1 year, or 1 week  or a month,,,,,   1 year</t>
  </si>
  <si>
    <t>Non Current Assets/ Fixed sstes</t>
  </si>
  <si>
    <t>Those assets whose benefit may be taken more than a year/ which can help to generate economic benefit for business more than a period</t>
  </si>
  <si>
    <t>Curent assets</t>
  </si>
  <si>
    <t>Cash,,,,Bank Balance,,,Debtor/Account receivable ( Those to whom we lend money or make credit sales./  Those to who you would have to receive cash</t>
  </si>
  <si>
    <t>prepaid expenses, INVENTORY /stock( Remaining portion of purchase which is  unsold at he end of accounting period</t>
  </si>
  <si>
    <t>life &gt; 1 year</t>
  </si>
  <si>
    <t>examples            LAND,,,,,, BUILDING,,,,FURNITURE,,,,VEHICLE,,,TRUCK,, CAR, VAN,,BYC,,,,MACHINARY,,,PLANT,,,, EQUIPMENTS,,,</t>
  </si>
  <si>
    <t>Current liability</t>
  </si>
  <si>
    <t>The liability which may be settled within year/period.</t>
  </si>
  <si>
    <t>paid with year</t>
  </si>
  <si>
    <t>Account payable/ Creditor,,,,,,, Those from whom we purchased goods on credit.</t>
  </si>
  <si>
    <t>Expenses payable/outstanding expenses= Expenses incurred but not paid yet.</t>
  </si>
  <si>
    <t>short term loan</t>
  </si>
  <si>
    <t>Note payble: 1) payable 2) in written</t>
  </si>
  <si>
    <t>Non current Liability/long term liability</t>
  </si>
  <si>
    <t>liability which may be settled after 1 year</t>
  </si>
  <si>
    <t>Long term debt</t>
  </si>
  <si>
    <t>Bank Loan</t>
  </si>
  <si>
    <t>overdraft,,,,,10000,,,,zero,,, 10000,,,cash deposit,,, 10000 + interest charge</t>
  </si>
  <si>
    <t>Expense</t>
  </si>
  <si>
    <t>wages   expense  expense</t>
  </si>
  <si>
    <t>interest expense  expense</t>
  </si>
  <si>
    <t>salary expense/ charges</t>
  </si>
  <si>
    <t>Sales</t>
  </si>
  <si>
    <t>interest income</t>
  </si>
  <si>
    <t>rent   expense  /charges,, dr.</t>
  </si>
  <si>
    <t>rent income   cr.</t>
  </si>
  <si>
    <t>Accounting Equition</t>
  </si>
  <si>
    <t>Asstes = Liabilities + Capital (Cash or any item invested by owner)</t>
  </si>
  <si>
    <t xml:space="preserve"> (issue debentures)</t>
  </si>
  <si>
    <t>BANK</t>
  </si>
  <si>
    <t xml:space="preserve">         BANK   CR.</t>
  </si>
  <si>
    <t>DEBENTURES INTEREST EXP DR.</t>
  </si>
  <si>
    <t xml:space="preserve">   10%   Debenture  Cr. (5000*100</t>
  </si>
  <si>
    <t>500000    * 10%=  50000   * 6/12</t>
  </si>
  <si>
    <t>ANNULLY</t>
  </si>
  <si>
    <t>HALF YEARLY</t>
  </si>
  <si>
    <t>Interest incurred and paid</t>
  </si>
  <si>
    <t>31st-dec-2010</t>
  </si>
  <si>
    <t xml:space="preserve">       DEBENTURES INTEREST EXP Cr.</t>
  </si>
  <si>
    <t>Profit &amp; loss Ac/ income statement DR.</t>
  </si>
  <si>
    <t>debentures interest transferred/ closed against P &amp; L</t>
  </si>
  <si>
    <t>owned Debentures Dr.</t>
  </si>
  <si>
    <t xml:space="preserve">       Bank Cr.</t>
  </si>
  <si>
    <t xml:space="preserve">   12%   Debenture  Cr. (5000*100</t>
  </si>
  <si>
    <t>500000 * 12 %</t>
  </si>
  <si>
    <t>ANNUALLY</t>
  </si>
  <si>
    <t>SEMI</t>
  </si>
  <si>
    <t>1st july-10</t>
  </si>
  <si>
    <t>Purchased owned debentures</t>
  </si>
  <si>
    <t>31st dec-10</t>
  </si>
  <si>
    <t xml:space="preserve">      Bank A/c Cr. (30000-3000)</t>
  </si>
  <si>
    <t xml:space="preserve">    interest on owned debentures  (income)</t>
  </si>
  <si>
    <t>Interest charged and paid</t>
  </si>
  <si>
    <t>DEBENTURES INTEREST EXP Cr.</t>
  </si>
  <si>
    <t xml:space="preserve"> Profit &amp; Loss Ac</t>
  </si>
  <si>
    <t>interest on owned debentures  (income)</t>
  </si>
  <si>
    <t xml:space="preserve">      </t>
  </si>
  <si>
    <t xml:space="preserve">           Profit &amp; Loss Ac  Cr.</t>
  </si>
  <si>
    <t>owned debentures interest transferred/ closed against P &amp; L</t>
  </si>
  <si>
    <t>Transaction</t>
  </si>
  <si>
    <t>Cash Transaction</t>
  </si>
  <si>
    <t>Purchased goods of Rs. 5000/-</t>
  </si>
  <si>
    <t>Purchased goods of Rs. 5000/- against Cash.</t>
  </si>
  <si>
    <t>Credit</t>
  </si>
  <si>
    <t>Purchased goods on credit</t>
  </si>
  <si>
    <t>Purchased goods on account.</t>
  </si>
  <si>
    <t>Purchased goods from Mr. Adil.</t>
  </si>
  <si>
    <t>I started business with Rs. 50,000/-</t>
  </si>
  <si>
    <t>2)</t>
  </si>
  <si>
    <t>I bought furniture for Rs. 2000 for business use.</t>
  </si>
  <si>
    <t>3)</t>
  </si>
  <si>
    <t>Submitted a tender for goods Rs. 10,000.</t>
  </si>
  <si>
    <t>4)</t>
  </si>
  <si>
    <t>Appointment of Cashier on salary Rs. 2000 per month.</t>
  </si>
  <si>
    <t>5)</t>
  </si>
  <si>
    <t>Paid Salary to Cashier.</t>
  </si>
  <si>
    <t>Accounting Equation</t>
  </si>
  <si>
    <t>Capital</t>
  </si>
  <si>
    <t>Assets = Liabilties Plus Capital</t>
  </si>
  <si>
    <t>Assets                                          =</t>
  </si>
  <si>
    <t>Naveed Soes Co.</t>
  </si>
  <si>
    <t>For the month of Jan-2017</t>
  </si>
  <si>
    <t>Cash</t>
  </si>
  <si>
    <t>Building</t>
  </si>
  <si>
    <t>Balance</t>
  </si>
  <si>
    <t>Furniture</t>
  </si>
  <si>
    <t>Goods</t>
  </si>
  <si>
    <t>Interest on debentures Dr</t>
  </si>
  <si>
    <t xml:space="preserve">          Bank Cr.</t>
  </si>
  <si>
    <t>Interest paid to debentures holders</t>
  </si>
  <si>
    <t xml:space="preserve">     Interest on debentures  Cr.</t>
  </si>
  <si>
    <t>Profit &amp; Loss Ac  Dr.</t>
  </si>
  <si>
    <t>Close interst expenses</t>
  </si>
  <si>
    <t>Redemption out of profit</t>
  </si>
  <si>
    <t xml:space="preserve">       Debentures redemption AC Cr.</t>
  </si>
  <si>
    <t>Transfer profit to redumption fund</t>
  </si>
  <si>
    <t>12% Debentures AC Dr.</t>
  </si>
  <si>
    <t xml:space="preserve">      Capital reserve AC</t>
  </si>
  <si>
    <t>Redeem debentures at Rs 96 &gt; par value</t>
  </si>
  <si>
    <t>12% debentures</t>
  </si>
  <si>
    <t xml:space="preserve">    Bank  Cr.</t>
  </si>
  <si>
    <t>Redemption of denbentures</t>
  </si>
  <si>
    <t>Redemption out of Capital</t>
  </si>
  <si>
    <t>Interest on debentures  Dr.</t>
  </si>
  <si>
    <t>Intrest charges in debenture</t>
  </si>
  <si>
    <t>Bank     Dr</t>
  </si>
  <si>
    <t>Profit &amp; Loss A/C Dr.</t>
  </si>
  <si>
    <t>Closing the interest expense</t>
  </si>
  <si>
    <t>Debentures purchased of own Company</t>
  </si>
  <si>
    <t xml:space="preserve">        12% Debentures (5000*100)</t>
  </si>
  <si>
    <t>Debentures issued at par</t>
  </si>
  <si>
    <t>Own Debentures</t>
  </si>
  <si>
    <t xml:space="preserve">         bank   Cr.</t>
  </si>
  <si>
    <t xml:space="preserve">Working </t>
  </si>
  <si>
    <t>1st six month</t>
  </si>
  <si>
    <t>2nd six</t>
  </si>
  <si>
    <t>Profit &amp; Loss A/c  Dr.</t>
  </si>
  <si>
    <t xml:space="preserve">               Interest on debentures Cr.</t>
  </si>
  <si>
    <t xml:space="preserve">       Interest on owned debentures Cr.</t>
  </si>
  <si>
    <t>Interest on owned debentures Dr.</t>
  </si>
  <si>
    <t>Profit &amp; Loss A/c  Cr.</t>
  </si>
  <si>
    <t>Redemption of debentures out of profit</t>
  </si>
  <si>
    <t>Redemption of debentures out of Capital</t>
  </si>
  <si>
    <t xml:space="preserve">                    Debentures redemption reserves</t>
  </si>
  <si>
    <t>Debentures  Dr</t>
  </si>
  <si>
    <t xml:space="preserve">          Bank  Cr.</t>
  </si>
  <si>
    <t xml:space="preserve">Debentures redemption </t>
  </si>
  <si>
    <t xml:space="preserve">     12 %   Debentures     Cr.</t>
  </si>
  <si>
    <t>Issuance of debentures</t>
  </si>
  <si>
    <t>Interest on debentures</t>
  </si>
  <si>
    <t xml:space="preserve">        Bank Ac Cr.</t>
  </si>
  <si>
    <t>Interest charged for the year 2009</t>
  </si>
  <si>
    <t xml:space="preserve">        Interest on debentures Cr.</t>
  </si>
  <si>
    <t>Profit &amp; Loss Dr.</t>
  </si>
  <si>
    <t>Close interest expense against P &amp; L</t>
  </si>
  <si>
    <t>Transferability of profit for redemption</t>
  </si>
  <si>
    <t xml:space="preserve">      Capital Reserve Ac Cr.</t>
  </si>
  <si>
    <t>Interest charged for the year 2010</t>
  </si>
  <si>
    <t>A/P</t>
  </si>
  <si>
    <t>A/R</t>
  </si>
  <si>
    <t>All expenses are deducted from cash &amp; Capital in Accounting Equation</t>
  </si>
  <si>
    <t>All incomes &amp;  Profits are added in Cash &amp; Capital in Accounting equation</t>
  </si>
  <si>
    <t>Liabilites</t>
  </si>
  <si>
    <t>Problem # 02</t>
  </si>
  <si>
    <t>a</t>
  </si>
  <si>
    <t>b</t>
  </si>
  <si>
    <t>c</t>
  </si>
  <si>
    <t>d</t>
  </si>
  <si>
    <t>e</t>
  </si>
  <si>
    <t>Equipment</t>
  </si>
  <si>
    <t>f</t>
  </si>
  <si>
    <t>g</t>
  </si>
  <si>
    <t>h</t>
  </si>
  <si>
    <t>i</t>
  </si>
  <si>
    <t>Investment</t>
  </si>
  <si>
    <t>j</t>
  </si>
  <si>
    <t>k</t>
  </si>
  <si>
    <t>l</t>
  </si>
  <si>
    <t>m</t>
  </si>
  <si>
    <t>Debentures</t>
  </si>
  <si>
    <t>1)Issuance</t>
  </si>
  <si>
    <t>2) Interest ( Durng the life)</t>
  </si>
  <si>
    <t>3) Redemption</t>
  </si>
  <si>
    <t xml:space="preserve">Shares </t>
  </si>
  <si>
    <t>1) Issuance</t>
  </si>
  <si>
    <t>2) Dividend</t>
  </si>
  <si>
    <t>Profit &amp; Loss Appropriation A/c,,,Retained earning</t>
  </si>
  <si>
    <t xml:space="preserve">Undistributed profit of the company </t>
  </si>
  <si>
    <t>Dividend</t>
  </si>
  <si>
    <t>The part of the profit which distributed among the shareholders</t>
  </si>
  <si>
    <t>Tyes</t>
  </si>
  <si>
    <t>Cash Dividend</t>
  </si>
  <si>
    <t>When co. paid dividend in form of cash</t>
  </si>
  <si>
    <t>Stock Dividend</t>
  </si>
  <si>
    <t>When co. paid dividend in form of shares by issuing new shares to existing owners</t>
  </si>
  <si>
    <t>Interim Divdend</t>
  </si>
  <si>
    <t>Paid During the year</t>
  </si>
  <si>
    <t>Scribe Dividend</t>
  </si>
  <si>
    <t>When co. issue bonus shares to existing shareholders</t>
  </si>
  <si>
    <t>P &amp; L Appropriation Dr.</t>
  </si>
  <si>
    <t xml:space="preserve">       Dividend Ac   Cr.</t>
  </si>
  <si>
    <t>Annualy meeting declared dividend</t>
  </si>
  <si>
    <t xml:space="preserve">When Co. make payment of dividend </t>
  </si>
  <si>
    <t>Dividend A/c</t>
  </si>
  <si>
    <t>Profit &amp; Loss Appropriation A/C</t>
  </si>
  <si>
    <t>Detail</t>
  </si>
  <si>
    <t>opening Blc</t>
  </si>
  <si>
    <t>Profit of current</t>
  </si>
  <si>
    <t>Current Loss</t>
  </si>
  <si>
    <t>xx</t>
  </si>
  <si>
    <t>opening loss</t>
  </si>
  <si>
    <t>Transfer to reserve</t>
  </si>
  <si>
    <t>xxx</t>
  </si>
  <si>
    <t xml:space="preserve">dividend </t>
  </si>
  <si>
    <t xml:space="preserve">Provision </t>
  </si>
  <si>
    <t>Transfer from reserve</t>
  </si>
  <si>
    <t>Debentures issuance</t>
  </si>
  <si>
    <t>Start of the life</t>
  </si>
  <si>
    <t>interest on debentures</t>
  </si>
  <si>
    <t>During the life</t>
  </si>
  <si>
    <t>Redemption of debentures</t>
  </si>
  <si>
    <t>Enf of life</t>
  </si>
  <si>
    <t>issuance</t>
  </si>
  <si>
    <t>The part of the profit which is ditributed among the shareholders</t>
  </si>
  <si>
    <t>Profit</t>
  </si>
  <si>
    <t>1) Dividend</t>
  </si>
  <si>
    <t>2) Retained earning/ Profit &amp; Loss aprropriation</t>
  </si>
  <si>
    <t xml:space="preserve">The part of profit which is not distributed among the shareholder </t>
  </si>
  <si>
    <t>1_ May we face loss in future</t>
  </si>
  <si>
    <t>2) May we make reserve for specific purpose</t>
  </si>
  <si>
    <t>Types</t>
  </si>
  <si>
    <t>1) Cash dividend</t>
  </si>
  <si>
    <t>2)Stock dividend</t>
  </si>
  <si>
    <t>3)interim dividend</t>
  </si>
  <si>
    <t>4) Scribe dividend</t>
  </si>
  <si>
    <t>Accounting</t>
  </si>
  <si>
    <t>1) When co. declare dividend</t>
  </si>
  <si>
    <t>Profit &amp; Loss appropriation A/c  DR.</t>
  </si>
  <si>
    <t xml:space="preserve">                    Dividend A/c.. Dividend payable     Cr.</t>
  </si>
  <si>
    <t>2) Dividend payment</t>
  </si>
  <si>
    <t xml:space="preserve">             Bank Cr.</t>
  </si>
  <si>
    <t>Dividend Ac,,, Payable   Dr.</t>
  </si>
  <si>
    <t>30-06-2010</t>
  </si>
  <si>
    <t>Per annum</t>
  </si>
  <si>
    <t>half yearly</t>
  </si>
  <si>
    <t>Dividend Ac,,, Payable   Dr.        12500</t>
  </si>
  <si>
    <t xml:space="preserve">             Bank Cr.                                                                  12500</t>
  </si>
  <si>
    <t>31-12-2010</t>
  </si>
  <si>
    <t>Profit &amp; Loss appropriation A/c  DR.      12500</t>
  </si>
  <si>
    <t xml:space="preserve">                    Dividend A/c.. Dividend payable     Cr.    12500</t>
  </si>
  <si>
    <t>Partnership ACT</t>
  </si>
  <si>
    <t>Partner types</t>
  </si>
  <si>
    <t>Partnership Types</t>
  </si>
  <si>
    <t>Partnership agreement</t>
  </si>
  <si>
    <t>Partnership</t>
  </si>
  <si>
    <t>Parnership merit/ demerits</t>
  </si>
  <si>
    <t>Mr. A, Mr. B started business with Cash Rs. 5000/- and 7000/- respectively</t>
  </si>
  <si>
    <t>Cash Dr.</t>
  </si>
  <si>
    <t xml:space="preserve">              A's Capital</t>
  </si>
  <si>
    <t xml:space="preserve">              B's Capital</t>
  </si>
  <si>
    <t>.and Mr. B Contributed Land amounting to Rs. 10,000.</t>
  </si>
  <si>
    <t>Land</t>
  </si>
  <si>
    <t>Interest on capital</t>
  </si>
  <si>
    <t>Drawings</t>
  </si>
  <si>
    <t>Interest on Drawings</t>
  </si>
  <si>
    <t>Profit /Loss  sharing</t>
  </si>
  <si>
    <t xml:space="preserve">Partnership liqudation </t>
  </si>
  <si>
    <t>Problem # 01</t>
  </si>
  <si>
    <t>Bank</t>
  </si>
  <si>
    <t>Problem # 03</t>
  </si>
  <si>
    <t>MS Khan</t>
  </si>
  <si>
    <t>Balances</t>
  </si>
  <si>
    <t>Creditors</t>
  </si>
  <si>
    <t>%</t>
  </si>
  <si>
    <t xml:space="preserve">Assets </t>
  </si>
  <si>
    <t>Liabilities+ Capital</t>
  </si>
  <si>
    <t>Liabilties</t>
  </si>
  <si>
    <t>Cost</t>
  </si>
  <si>
    <t>Profit 10%</t>
  </si>
  <si>
    <t>PRICE BEFORE DISCOUNT</t>
  </si>
  <si>
    <t>Discount %</t>
  </si>
  <si>
    <t>Discount Rs.</t>
  </si>
  <si>
    <t>PRICE Afyer DISCOUNT</t>
  </si>
  <si>
    <t>Partnership Accounting</t>
  </si>
  <si>
    <t>When partner bring capital in partnership Business</t>
  </si>
  <si>
    <t>Cash   Dr</t>
  </si>
  <si>
    <t>Building  Dr.</t>
  </si>
  <si>
    <t xml:space="preserve">             A's Capital</t>
  </si>
  <si>
    <t xml:space="preserve">            B's Capital</t>
  </si>
  <si>
    <t>Land  Dr.</t>
  </si>
  <si>
    <t>Mr. A &amp; B started Business with Cash,land &amp; Building</t>
  </si>
  <si>
    <t>Interest on Capital 10%</t>
  </si>
  <si>
    <t xml:space="preserve">             B's Capital</t>
  </si>
  <si>
    <t>Interest  on Capital  Dr.</t>
  </si>
  <si>
    <t>Interest charged on partner capital</t>
  </si>
  <si>
    <t xml:space="preserve">  Expense</t>
  </si>
  <si>
    <t>Interest on drawings</t>
  </si>
  <si>
    <t>A's drwaing  10000</t>
  </si>
  <si>
    <t>B's Drawings  5000</t>
  </si>
  <si>
    <t>10% rate</t>
  </si>
  <si>
    <t>A's Capital</t>
  </si>
  <si>
    <t>B's Capital</t>
  </si>
  <si>
    <t xml:space="preserve">                       Interest on Drawings</t>
  </si>
  <si>
    <t xml:space="preserve">4) </t>
  </si>
  <si>
    <t xml:space="preserve">Profit distribution </t>
  </si>
  <si>
    <t>Profit for the year= 10000</t>
  </si>
  <si>
    <t>50%: 50%</t>
  </si>
  <si>
    <t>Profit &amp; loss A/c</t>
  </si>
  <si>
    <t xml:space="preserve">       A's Capital</t>
  </si>
  <si>
    <t xml:space="preserve">        B's Capital</t>
  </si>
  <si>
    <t>Profit diribution among the parners</t>
  </si>
  <si>
    <t xml:space="preserve">Slaries </t>
  </si>
  <si>
    <t>Salaries A/c Dr.</t>
  </si>
  <si>
    <t xml:space="preserve">                   A's Capital</t>
  </si>
  <si>
    <t>6)</t>
  </si>
  <si>
    <t xml:space="preserve">    Cash Cr.</t>
  </si>
  <si>
    <t xml:space="preserve">    Land Cr.</t>
  </si>
  <si>
    <t>If partners bring their capital back</t>
  </si>
  <si>
    <t xml:space="preserve">X </t>
  </si>
  <si>
    <t>General journal</t>
  </si>
  <si>
    <t>For the month of feb: 2017</t>
  </si>
  <si>
    <t>Detail/Description/Particulars</t>
  </si>
  <si>
    <t>Dr. Rs</t>
  </si>
  <si>
    <t>Cr. Rs.</t>
  </si>
  <si>
    <t>Illustration # 01</t>
  </si>
  <si>
    <t>Cash A/c ( Dr.)</t>
  </si>
  <si>
    <t xml:space="preserve">                Capital A/c  </t>
  </si>
  <si>
    <t>Mr. X started business with cash</t>
  </si>
  <si>
    <t>Purchases A/c</t>
  </si>
  <si>
    <t xml:space="preserve">                 Cash A/c </t>
  </si>
  <si>
    <t>Goods purchased for Cash</t>
  </si>
  <si>
    <t xml:space="preserve">                  Sarwar &amp; Co.(A/P)</t>
  </si>
  <si>
    <t>(Purchased goods on credit)</t>
  </si>
  <si>
    <t>Furniture A/c</t>
  </si>
  <si>
    <t xml:space="preserve">          Cash </t>
  </si>
  <si>
    <t>Purchased furniture for cash</t>
  </si>
  <si>
    <t xml:space="preserve">Cash </t>
  </si>
  <si>
    <t xml:space="preserve">           Sales A/c</t>
  </si>
  <si>
    <t>Sold goods on credit</t>
  </si>
  <si>
    <t>Dilawar Bros ( A/R)</t>
  </si>
  <si>
    <t xml:space="preserve">         Sales A/c</t>
  </si>
  <si>
    <t>Sold goods for cash</t>
  </si>
  <si>
    <t>Salaries expenses</t>
  </si>
  <si>
    <t xml:space="preserve">         Cash A/c</t>
  </si>
  <si>
    <t>Paid Salaries</t>
  </si>
  <si>
    <t>Cash A/c</t>
  </si>
  <si>
    <t xml:space="preserve">               Commision Income </t>
  </si>
  <si>
    <t>Received Commission</t>
  </si>
  <si>
    <t>Sarwar &amp;Co (A/P)</t>
  </si>
  <si>
    <t xml:space="preserve">                 Purchases return</t>
  </si>
  <si>
    <t>Goods returned to Sarwar &amp; Co.</t>
  </si>
  <si>
    <t>Sales return</t>
  </si>
  <si>
    <t>Goods returned from dilawar &amp; Co.</t>
  </si>
  <si>
    <t xml:space="preserve">                Dilawar &amp; Bros (A/R)</t>
  </si>
  <si>
    <t>amount received from A/R</t>
  </si>
  <si>
    <t xml:space="preserve">                    Cash  A/c</t>
  </si>
  <si>
    <t>Paid to Sarwar &amp; Co.</t>
  </si>
  <si>
    <t>Drawings A/C</t>
  </si>
  <si>
    <t>Withdrew by the owner</t>
  </si>
  <si>
    <t xml:space="preserve">                   Cash A/C</t>
  </si>
  <si>
    <t xml:space="preserve">Depreciation Expenses </t>
  </si>
  <si>
    <t xml:space="preserve">                Furniture    A/c</t>
  </si>
  <si>
    <t>Charged depreciation on furniture</t>
  </si>
  <si>
    <t xml:space="preserve">                        Shafiq (A/P)</t>
  </si>
  <si>
    <t>Cash   A/c</t>
  </si>
  <si>
    <t>borrowed from shafiq</t>
  </si>
  <si>
    <t>Increase</t>
  </si>
  <si>
    <t>Debit</t>
  </si>
  <si>
    <t>Decrease</t>
  </si>
  <si>
    <t>Interest on Capital Dr.</t>
  </si>
  <si>
    <t xml:space="preserve">           A's Capital</t>
  </si>
  <si>
    <t xml:space="preserve">         B's Capital</t>
  </si>
  <si>
    <t>2)  10%</t>
  </si>
  <si>
    <t>Interest charges on Capital</t>
  </si>
  <si>
    <t xml:space="preserve">         Interest on drawings Cr.</t>
  </si>
  <si>
    <t>Partner salaries</t>
  </si>
  <si>
    <t>Salary Expense</t>
  </si>
  <si>
    <t xml:space="preserve">                 A's Capital</t>
  </si>
  <si>
    <t xml:space="preserve">Profit Distribution </t>
  </si>
  <si>
    <t>Profit &amp; loss Ac</t>
  </si>
  <si>
    <t xml:space="preserve">                   A's Capital </t>
  </si>
  <si>
    <t xml:space="preserve">                    B's Capital</t>
  </si>
  <si>
    <t xml:space="preserve">                     Profit &amp; loss Ac</t>
  </si>
  <si>
    <t xml:space="preserve">A's Capital </t>
  </si>
  <si>
    <t>PROBLEM 2</t>
  </si>
  <si>
    <t>MR.Furqan</t>
  </si>
  <si>
    <t>For the month of August: 2017</t>
  </si>
  <si>
    <t xml:space="preserve">                             Capital A/c</t>
  </si>
  <si>
    <t>(started Business with cash)</t>
  </si>
  <si>
    <t xml:space="preserve">                                Cash A/c</t>
  </si>
  <si>
    <t>(Bought Furniture)</t>
  </si>
  <si>
    <t xml:space="preserve">                             Cash A/c</t>
  </si>
  <si>
    <t>(Goods purchased For cash )</t>
  </si>
  <si>
    <t>(Goods purchased on credit )</t>
  </si>
  <si>
    <t xml:space="preserve">                           Noor Mills</t>
  </si>
  <si>
    <t>.2/10</t>
  </si>
  <si>
    <t>n/30</t>
  </si>
  <si>
    <t>Goods purchased or sold on credit</t>
  </si>
  <si>
    <t>If payment is made is 10 days 2% cash discount will be alowed or received</t>
  </si>
  <si>
    <t>If payment is made after 10 days but not later than 30 days, NO DISCOUNT will be offered/received</t>
  </si>
  <si>
    <t>Noor Mills</t>
  </si>
  <si>
    <t xml:space="preserve">                  Purchase return A/c</t>
  </si>
  <si>
    <t>(Goods returned to Noor Mills)</t>
  </si>
  <si>
    <t xml:space="preserve">                              Sales A/c</t>
  </si>
  <si>
    <t>Cash Sales</t>
  </si>
  <si>
    <t xml:space="preserve">                   Cash A/c</t>
  </si>
  <si>
    <t>Simple  entry</t>
  </si>
  <si>
    <t>An entry in which 1 account is debited &amp; other is credited</t>
  </si>
  <si>
    <t>Compound Entry</t>
  </si>
  <si>
    <t>An entry in which 2 or more accounts is debited or  credited</t>
  </si>
  <si>
    <t xml:space="preserve">                   Discount received A/c</t>
  </si>
  <si>
    <t>Payment made to Noor Mills</t>
  </si>
  <si>
    <t>Mobeen &amp; Co.</t>
  </si>
  <si>
    <t xml:space="preserve">                     Sales</t>
  </si>
  <si>
    <t>Goods sold to Mobeen</t>
  </si>
  <si>
    <t>Loss in transit A/c</t>
  </si>
  <si>
    <t xml:space="preserve">                    Purchases  A/c</t>
  </si>
  <si>
    <t>(Goods lost by accident )</t>
  </si>
  <si>
    <t>Sale return A/c</t>
  </si>
  <si>
    <t xml:space="preserve">                Mobeen &amp; Co. </t>
  </si>
  <si>
    <t xml:space="preserve">Goods returned by Mobeen </t>
  </si>
  <si>
    <t xml:space="preserve">                  Cash</t>
  </si>
  <si>
    <t xml:space="preserve">                 Purchases A/c</t>
  </si>
  <si>
    <t>Drawings of cash &amp; goods</t>
  </si>
  <si>
    <t>Discount A/c</t>
  </si>
  <si>
    <t>Cash received from Mobeen &amp; Co.</t>
  </si>
  <si>
    <t xml:space="preserve">                        Furnture A/c</t>
  </si>
  <si>
    <t>Sold Furniture on Cash</t>
  </si>
  <si>
    <t>Salaries</t>
  </si>
  <si>
    <t>Wages</t>
  </si>
  <si>
    <t>Electricity</t>
  </si>
  <si>
    <t>Bank Charges</t>
  </si>
  <si>
    <t>Insurance premium</t>
  </si>
  <si>
    <t xml:space="preserve">                                   Cash</t>
  </si>
  <si>
    <t>Paid expenses</t>
  </si>
  <si>
    <t xml:space="preserve">      Cash </t>
  </si>
  <si>
    <t xml:space="preserve">Wages </t>
  </si>
  <si>
    <t xml:space="preserve">                   Cash</t>
  </si>
  <si>
    <t xml:space="preserve">Electtriciy </t>
  </si>
  <si>
    <t>THE PROCESS OF RECORDING JOURNAL ENTRY IS CALLED JOURNALIZING</t>
  </si>
  <si>
    <t>The process of posting journal entry in to ledger is called Posting</t>
  </si>
  <si>
    <t>J.F</t>
  </si>
  <si>
    <t xml:space="preserve">Rs. </t>
  </si>
  <si>
    <t>Dr. Side</t>
  </si>
  <si>
    <t>Cr. Side</t>
  </si>
  <si>
    <t>Cash Account</t>
  </si>
  <si>
    <t xml:space="preserve">Mobeen &amp; Co. </t>
  </si>
  <si>
    <t>Salaries &amp; other expenses</t>
  </si>
  <si>
    <t>Balance C/D</t>
  </si>
  <si>
    <t>Balance B/F</t>
  </si>
  <si>
    <t>Capital Account</t>
  </si>
  <si>
    <t>Balance C/d</t>
  </si>
  <si>
    <t>XYZ Co.</t>
  </si>
  <si>
    <t>Trial Balance</t>
  </si>
  <si>
    <t>For the month of june: 2017</t>
  </si>
  <si>
    <t>Sr. No</t>
  </si>
  <si>
    <t>Account Name</t>
  </si>
  <si>
    <t>A/C No.</t>
  </si>
  <si>
    <t>Dr. (RS.)</t>
  </si>
  <si>
    <t>Cr. (Rs.)</t>
  </si>
  <si>
    <t xml:space="preserve">Purchases </t>
  </si>
  <si>
    <t>Asif Account (A/P)</t>
  </si>
  <si>
    <t>Shahid &amp; Sons</t>
  </si>
  <si>
    <t>_</t>
  </si>
  <si>
    <t>Office Equipment</t>
  </si>
  <si>
    <t>Salman ( A/P)</t>
  </si>
  <si>
    <t>Bank A/c</t>
  </si>
  <si>
    <t>Discount received</t>
  </si>
  <si>
    <t>Discount Allowed</t>
  </si>
  <si>
    <t>Electricity A/C</t>
  </si>
  <si>
    <t>Salaries A/C</t>
  </si>
  <si>
    <t>Insurance A/C</t>
  </si>
  <si>
    <t>MCQS</t>
  </si>
  <si>
    <t>J-L-T</t>
  </si>
  <si>
    <t>90+</t>
  </si>
  <si>
    <t xml:space="preserve">A/c Equation </t>
  </si>
  <si>
    <t>Definitions/Concepts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</si>
</sst>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2" borderId="0" xfId="0" applyFont="1" applyFill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3" borderId="0" xfId="0" applyFont="1" applyFill="1"/>
    <xf numFmtId="0" fontId="6" fillId="4" borderId="0" xfId="0" applyFont="1" applyFill="1"/>
    <xf numFmtId="0" fontId="0" fillId="4" borderId="0" xfId="0" applyFill="1"/>
    <xf numFmtId="0" fontId="4" fillId="4" borderId="0" xfId="0" applyFont="1" applyFill="1"/>
    <xf numFmtId="0" fontId="5" fillId="4" borderId="0" xfId="0" applyFont="1" applyFill="1"/>
    <xf numFmtId="0" fontId="2" fillId="4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2" fillId="0" borderId="0" xfId="0" applyFont="1"/>
    <xf numFmtId="0" fontId="8" fillId="4" borderId="0" xfId="0" applyFont="1" applyFill="1"/>
    <xf numFmtId="0" fontId="1" fillId="0" borderId="0" xfId="0" applyFont="1" applyAlignment="1">
      <alignment horizontal="center"/>
    </xf>
    <xf numFmtId="0" fontId="9" fillId="4" borderId="0" xfId="0" applyFont="1" applyFill="1"/>
    <xf numFmtId="0" fontId="9" fillId="5" borderId="0" xfId="0" applyFont="1" applyFill="1"/>
    <xf numFmtId="15" fontId="0" fillId="0" borderId="0" xfId="0" applyNumberFormat="1"/>
    <xf numFmtId="9" fontId="0" fillId="0" borderId="0" xfId="0" applyNumberFormat="1"/>
    <xf numFmtId="0" fontId="0" fillId="0" borderId="0" xfId="0" applyBorder="1"/>
    <xf numFmtId="0" fontId="0" fillId="2" borderId="0" xfId="0" applyFill="1" applyBorder="1"/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8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3" fontId="0" fillId="0" borderId="0" xfId="0" applyNumberFormat="1" applyBorder="1"/>
    <xf numFmtId="0" fontId="1" fillId="0" borderId="16" xfId="0" applyFont="1" applyBorder="1"/>
    <xf numFmtId="15" fontId="0" fillId="0" borderId="15" xfId="0" applyNumberFormat="1" applyBorder="1"/>
    <xf numFmtId="3" fontId="0" fillId="0" borderId="12" xfId="0" applyNumberFormat="1" applyBorder="1" applyAlignment="1">
      <alignment horizontal="center"/>
    </xf>
    <xf numFmtId="0" fontId="0" fillId="0" borderId="16" xfId="0" applyBorder="1"/>
    <xf numFmtId="15" fontId="0" fillId="4" borderId="15" xfId="0" applyNumberFormat="1" applyFill="1" applyBorder="1"/>
    <xf numFmtId="0" fontId="0" fillId="4" borderId="0" xfId="0" applyFill="1" applyBorder="1"/>
    <xf numFmtId="3" fontId="0" fillId="4" borderId="0" xfId="0" applyNumberFormat="1" applyFill="1" applyBorder="1"/>
    <xf numFmtId="3" fontId="0" fillId="4" borderId="12" xfId="0" applyNumberFormat="1" applyFill="1" applyBorder="1" applyAlignment="1">
      <alignment horizontal="center"/>
    </xf>
    <xf numFmtId="0" fontId="1" fillId="4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9" xfId="0" applyBorder="1"/>
    <xf numFmtId="0" fontId="1" fillId="0" borderId="18" xfId="0" applyFont="1" applyBorder="1"/>
    <xf numFmtId="0" fontId="0" fillId="0" borderId="20" xfId="0" applyBorder="1"/>
    <xf numFmtId="0" fontId="0" fillId="4" borderId="19" xfId="0" applyFill="1" applyBorder="1"/>
    <xf numFmtId="0" fontId="0" fillId="0" borderId="0" xfId="0" applyFill="1" applyBorder="1"/>
    <xf numFmtId="0" fontId="0" fillId="0" borderId="21" xfId="0" applyBorder="1"/>
    <xf numFmtId="0" fontId="0" fillId="4" borderId="0" xfId="0" applyFill="1" applyAlignment="1"/>
    <xf numFmtId="15" fontId="0" fillId="6" borderId="15" xfId="0" applyNumberFormat="1" applyFill="1" applyBorder="1"/>
    <xf numFmtId="0" fontId="0" fillId="6" borderId="0" xfId="0" applyFill="1" applyBorder="1"/>
    <xf numFmtId="0" fontId="0" fillId="6" borderId="19" xfId="0" applyFill="1" applyBorder="1"/>
    <xf numFmtId="0" fontId="0" fillId="6" borderId="12" xfId="0" applyFill="1" applyBorder="1"/>
    <xf numFmtId="0" fontId="0" fillId="6" borderId="0" xfId="0" applyFill="1"/>
    <xf numFmtId="0" fontId="0" fillId="0" borderId="7" xfId="0" applyBorder="1"/>
    <xf numFmtId="0" fontId="0" fillId="0" borderId="8" xfId="0" applyBorder="1"/>
    <xf numFmtId="0" fontId="0" fillId="0" borderId="18" xfId="0" applyBorder="1"/>
    <xf numFmtId="0" fontId="0" fillId="0" borderId="9" xfId="0" applyBorder="1"/>
    <xf numFmtId="0" fontId="1" fillId="0" borderId="1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0" fillId="7" borderId="0" xfId="0" applyFill="1"/>
    <xf numFmtId="0" fontId="0" fillId="0" borderId="9" xfId="0" applyBorder="1" applyAlignment="1">
      <alignment horizontal="center"/>
    </xf>
    <xf numFmtId="0" fontId="0" fillId="8" borderId="0" xfId="0" applyFill="1"/>
    <xf numFmtId="0" fontId="0" fillId="8" borderId="19" xfId="0" applyFill="1" applyBorder="1"/>
    <xf numFmtId="0" fontId="0" fillId="8" borderId="0" xfId="0" applyFill="1" applyBorder="1"/>
    <xf numFmtId="20" fontId="0" fillId="0" borderId="0" xfId="0" applyNumberFormat="1"/>
    <xf numFmtId="0" fontId="0" fillId="0" borderId="23" xfId="0" applyBorder="1"/>
    <xf numFmtId="0" fontId="0" fillId="0" borderId="13" xfId="0" applyBorder="1"/>
    <xf numFmtId="0" fontId="0" fillId="0" borderId="24" xfId="0" applyBorder="1"/>
    <xf numFmtId="16" fontId="0" fillId="0" borderId="22" xfId="0" applyNumberFormat="1" applyBorder="1"/>
    <xf numFmtId="0" fontId="1" fillId="0" borderId="0" xfId="0" applyFont="1" applyFill="1" applyBorder="1"/>
    <xf numFmtId="16" fontId="0" fillId="0" borderId="21" xfId="0" applyNumberFormat="1" applyBorder="1"/>
    <xf numFmtId="0" fontId="0" fillId="2" borderId="0" xfId="0" applyFill="1"/>
    <xf numFmtId="3" fontId="0" fillId="0" borderId="10" xfId="0" applyNumberFormat="1" applyBorder="1"/>
    <xf numFmtId="0" fontId="0" fillId="0" borderId="0" xfId="0" applyFont="1" applyFill="1" applyBorder="1"/>
    <xf numFmtId="16" fontId="0" fillId="0" borderId="0" xfId="0" applyNumberFormat="1"/>
    <xf numFmtId="16" fontId="0" fillId="0" borderId="0" xfId="0" applyNumberForma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/>
    <xf numFmtId="3" fontId="0" fillId="0" borderId="12" xfId="0" applyNumberFormat="1" applyBorder="1"/>
    <xf numFmtId="0" fontId="0" fillId="4" borderId="1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17"/>
  <sheetViews>
    <sheetView workbookViewId="0">
      <selection activeCell="A3" sqref="A3:R4"/>
    </sheetView>
  </sheetViews>
  <sheetFormatPr defaultRowHeight="15"/>
  <cols>
    <col min="2" max="2" width="28.140625" customWidth="1"/>
    <col min="8" max="8" width="24" customWidth="1"/>
    <col min="15" max="15" width="24" customWidth="1"/>
  </cols>
  <sheetData>
    <row r="3" spans="1:18" ht="18.75">
      <c r="A3" s="90" t="s">
        <v>0</v>
      </c>
      <c r="B3" s="90"/>
      <c r="C3" s="90"/>
      <c r="D3" s="90"/>
      <c r="E3" s="90"/>
      <c r="G3" s="91" t="s">
        <v>6</v>
      </c>
      <c r="H3" s="91"/>
      <c r="I3" s="91"/>
      <c r="J3" s="91"/>
      <c r="K3" s="91"/>
      <c r="N3" s="92" t="s">
        <v>7</v>
      </c>
      <c r="O3" s="92"/>
      <c r="P3" s="92"/>
      <c r="Q3" s="92"/>
      <c r="R3" s="92"/>
    </row>
    <row r="4" spans="1:18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G4" s="2" t="s">
        <v>1</v>
      </c>
      <c r="H4" s="3" t="s">
        <v>2</v>
      </c>
      <c r="I4" s="3" t="s">
        <v>3</v>
      </c>
      <c r="J4" s="3" t="s">
        <v>4</v>
      </c>
      <c r="K4" s="4" t="s">
        <v>5</v>
      </c>
      <c r="N4" s="2" t="s">
        <v>1</v>
      </c>
      <c r="O4" s="3" t="s">
        <v>2</v>
      </c>
      <c r="P4" s="3" t="s">
        <v>3</v>
      </c>
      <c r="Q4" s="3" t="s">
        <v>4</v>
      </c>
      <c r="R4" s="4" t="s">
        <v>5</v>
      </c>
    </row>
    <row r="5" spans="1:18">
      <c r="A5">
        <v>1</v>
      </c>
      <c r="B5" t="s">
        <v>8</v>
      </c>
      <c r="G5">
        <v>1</v>
      </c>
      <c r="H5" t="s">
        <v>8</v>
      </c>
      <c r="N5">
        <v>1</v>
      </c>
      <c r="O5" t="s">
        <v>8</v>
      </c>
    </row>
    <row r="6" spans="1:18">
      <c r="B6" t="s">
        <v>9</v>
      </c>
      <c r="H6" t="s">
        <v>9</v>
      </c>
      <c r="O6" t="s">
        <v>9</v>
      </c>
    </row>
    <row r="7" spans="1:18">
      <c r="B7" t="s">
        <v>10</v>
      </c>
      <c r="H7" t="s">
        <v>10</v>
      </c>
      <c r="O7" t="s">
        <v>10</v>
      </c>
    </row>
    <row r="9" spans="1:18">
      <c r="A9">
        <v>2</v>
      </c>
      <c r="B9" t="s">
        <v>11</v>
      </c>
      <c r="G9">
        <v>2</v>
      </c>
      <c r="H9" t="s">
        <v>11</v>
      </c>
      <c r="N9">
        <v>2</v>
      </c>
      <c r="O9" t="s">
        <v>14</v>
      </c>
      <c r="Q9">
        <v>8</v>
      </c>
    </row>
    <row r="10" spans="1:18">
      <c r="B10" t="s">
        <v>12</v>
      </c>
      <c r="H10" t="s">
        <v>12</v>
      </c>
      <c r="O10" t="s">
        <v>19</v>
      </c>
      <c r="Q10">
        <v>2</v>
      </c>
    </row>
    <row r="11" spans="1:18">
      <c r="B11" t="s">
        <v>13</v>
      </c>
      <c r="H11" t="s">
        <v>17</v>
      </c>
      <c r="O11" t="s">
        <v>20</v>
      </c>
      <c r="R11">
        <v>10</v>
      </c>
    </row>
    <row r="13" spans="1:18">
      <c r="A13">
        <v>3</v>
      </c>
      <c r="B13" t="s">
        <v>14</v>
      </c>
      <c r="H13" t="s">
        <v>18</v>
      </c>
      <c r="O13" t="s">
        <v>18</v>
      </c>
    </row>
    <row r="14" spans="1:18">
      <c r="B14" t="s">
        <v>15</v>
      </c>
    </row>
    <row r="15" spans="1:18">
      <c r="B15" t="s">
        <v>16</v>
      </c>
      <c r="G15">
        <v>3</v>
      </c>
      <c r="H15" t="s">
        <v>14</v>
      </c>
      <c r="N15">
        <v>3</v>
      </c>
      <c r="O15" t="s">
        <v>14</v>
      </c>
    </row>
    <row r="16" spans="1:18">
      <c r="H16" t="s">
        <v>15</v>
      </c>
      <c r="O16" t="s">
        <v>15</v>
      </c>
    </row>
    <row r="17" spans="8:15">
      <c r="H17" t="s">
        <v>16</v>
      </c>
      <c r="O17" t="s">
        <v>16</v>
      </c>
    </row>
  </sheetData>
  <mergeCells count="3">
    <mergeCell ref="A3:E3"/>
    <mergeCell ref="G3:K3"/>
    <mergeCell ref="N3:R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3:C22"/>
  <sheetViews>
    <sheetView topLeftCell="A10" workbookViewId="0">
      <selection activeCell="H21" sqref="H21"/>
    </sheetView>
  </sheetViews>
  <sheetFormatPr defaultRowHeight="15"/>
  <cols>
    <col min="2" max="2" width="6.85546875" customWidth="1"/>
    <col min="3" max="3" width="49" customWidth="1"/>
  </cols>
  <sheetData>
    <row r="3" spans="2:3" ht="21">
      <c r="B3" s="23" t="s">
        <v>189</v>
      </c>
      <c r="C3" s="23" t="s">
        <v>190</v>
      </c>
    </row>
    <row r="9" spans="2:3">
      <c r="B9" t="s">
        <v>222</v>
      </c>
    </row>
    <row r="10" spans="2:3">
      <c r="B10" t="s">
        <v>223</v>
      </c>
    </row>
    <row r="11" spans="2:3">
      <c r="C11" t="s">
        <v>224</v>
      </c>
    </row>
    <row r="12" spans="2:3">
      <c r="C12" t="s">
        <v>225</v>
      </c>
    </row>
    <row r="15" spans="2:3">
      <c r="B15" t="s">
        <v>226</v>
      </c>
      <c r="C15" t="s">
        <v>227</v>
      </c>
    </row>
    <row r="16" spans="2:3">
      <c r="C16" t="s">
        <v>228</v>
      </c>
    </row>
    <row r="17" spans="2:3">
      <c r="C17" t="s">
        <v>229</v>
      </c>
    </row>
    <row r="18" spans="2:3">
      <c r="B18" t="s">
        <v>70</v>
      </c>
      <c r="C18" t="s">
        <v>230</v>
      </c>
    </row>
    <row r="19" spans="2:3">
      <c r="B19" t="s">
        <v>231</v>
      </c>
      <c r="C19" t="s">
        <v>232</v>
      </c>
    </row>
    <row r="20" spans="2:3">
      <c r="B20" t="s">
        <v>233</v>
      </c>
      <c r="C20" t="s">
        <v>234</v>
      </c>
    </row>
    <row r="21" spans="2:3">
      <c r="B21" t="s">
        <v>235</v>
      </c>
      <c r="C21" t="s">
        <v>236</v>
      </c>
    </row>
    <row r="22" spans="2:3">
      <c r="B22" t="s">
        <v>237</v>
      </c>
      <c r="C22" t="s">
        <v>238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R137"/>
  <sheetViews>
    <sheetView topLeftCell="A122" workbookViewId="0">
      <selection activeCell="O123" sqref="O123"/>
    </sheetView>
  </sheetViews>
  <sheetFormatPr defaultRowHeight="15"/>
  <cols>
    <col min="1" max="1" width="9.28515625" bestFit="1" customWidth="1"/>
    <col min="8" max="8" width="1.140625" style="54" customWidth="1"/>
    <col min="12" max="12" width="30.85546875" customWidth="1"/>
    <col min="13" max="13" width="23.140625" bestFit="1" customWidth="1"/>
    <col min="14" max="14" width="12.7109375" customWidth="1"/>
  </cols>
  <sheetData>
    <row r="2" spans="1:11">
      <c r="C2" s="108" t="s">
        <v>239</v>
      </c>
      <c r="D2" s="108"/>
      <c r="E2" s="108"/>
      <c r="F2" s="108"/>
      <c r="G2" s="108"/>
      <c r="H2" s="108"/>
      <c r="I2" s="108"/>
      <c r="J2" s="108"/>
    </row>
    <row r="3" spans="1:11">
      <c r="C3" s="108"/>
      <c r="D3" s="108"/>
      <c r="E3" s="108"/>
      <c r="F3" s="108"/>
      <c r="G3" s="108"/>
      <c r="H3" s="108"/>
      <c r="I3" s="108"/>
      <c r="J3" s="108"/>
    </row>
    <row r="4" spans="1:11">
      <c r="C4" s="108"/>
      <c r="D4" s="108"/>
      <c r="E4" s="108"/>
      <c r="F4" s="108"/>
      <c r="G4" s="108"/>
      <c r="H4" s="108"/>
      <c r="I4" s="108"/>
      <c r="J4" s="108"/>
    </row>
    <row r="5" spans="1:11" ht="15.75" thickBot="1"/>
    <row r="6" spans="1:11" ht="15.75" thickBot="1">
      <c r="B6" s="110" t="s">
        <v>241</v>
      </c>
      <c r="C6" s="111"/>
      <c r="D6" s="112"/>
    </row>
    <row r="7" spans="1:11" ht="15.75" thickBot="1">
      <c r="B7" s="37"/>
      <c r="C7" s="37"/>
      <c r="D7" s="92" t="s">
        <v>243</v>
      </c>
      <c r="E7" s="92"/>
      <c r="F7" s="92"/>
      <c r="G7" s="51"/>
    </row>
    <row r="8" spans="1:11" ht="15.75" thickBot="1">
      <c r="B8" s="37"/>
      <c r="C8" s="113" t="s">
        <v>244</v>
      </c>
      <c r="D8" s="113"/>
      <c r="E8" s="113"/>
      <c r="F8" s="113"/>
      <c r="G8" s="52"/>
    </row>
    <row r="9" spans="1:11" ht="15.75" thickBot="1">
      <c r="B9" s="37"/>
      <c r="C9" s="37"/>
      <c r="D9" s="114" t="s">
        <v>239</v>
      </c>
      <c r="E9" s="114"/>
      <c r="F9" s="114"/>
      <c r="G9" s="52"/>
    </row>
    <row r="10" spans="1:11" ht="15.75" thickBot="1">
      <c r="A10" s="32" t="s">
        <v>1</v>
      </c>
      <c r="B10" s="109" t="s">
        <v>242</v>
      </c>
      <c r="C10" s="109"/>
      <c r="D10" s="109"/>
      <c r="E10" s="109"/>
      <c r="F10" s="105"/>
      <c r="G10" s="53"/>
      <c r="H10" s="55"/>
      <c r="I10" s="105" t="s">
        <v>56</v>
      </c>
      <c r="J10" s="105"/>
      <c r="K10" s="33" t="s">
        <v>240</v>
      </c>
    </row>
    <row r="11" spans="1:11">
      <c r="A11" s="38"/>
      <c r="B11" s="41" t="s">
        <v>245</v>
      </c>
      <c r="C11" s="44" t="s">
        <v>246</v>
      </c>
      <c r="D11" s="44" t="s">
        <v>248</v>
      </c>
      <c r="E11" s="44" t="s">
        <v>249</v>
      </c>
      <c r="F11" s="34" t="s">
        <v>302</v>
      </c>
      <c r="G11" s="34"/>
      <c r="H11" s="56"/>
      <c r="I11" s="34" t="s">
        <v>301</v>
      </c>
      <c r="J11" s="34" t="s">
        <v>179</v>
      </c>
      <c r="K11" s="35"/>
    </row>
    <row r="12" spans="1:11">
      <c r="A12" s="42">
        <v>42736</v>
      </c>
      <c r="B12" s="40">
        <v>500000</v>
      </c>
      <c r="C12" s="29"/>
      <c r="D12" s="29"/>
      <c r="E12" s="29"/>
      <c r="F12" s="29"/>
      <c r="G12" s="29"/>
      <c r="I12" s="29"/>
      <c r="J12" s="29"/>
      <c r="K12" s="43">
        <v>500000</v>
      </c>
    </row>
    <row r="13" spans="1:11">
      <c r="A13" s="42" t="s">
        <v>247</v>
      </c>
      <c r="B13" s="117">
        <v>500000</v>
      </c>
      <c r="C13" s="118"/>
      <c r="D13" s="118"/>
      <c r="E13" s="118"/>
      <c r="F13" s="29"/>
      <c r="G13" s="29"/>
      <c r="I13" s="118">
        <v>500000</v>
      </c>
      <c r="J13" s="119"/>
      <c r="K13" s="120"/>
    </row>
    <row r="14" spans="1:11" s="16" customFormat="1">
      <c r="A14" s="45">
        <v>42736</v>
      </c>
      <c r="B14" s="46">
        <f>500000-200000</f>
        <v>300000</v>
      </c>
      <c r="C14" s="47">
        <v>200000</v>
      </c>
      <c r="D14" s="46"/>
      <c r="E14" s="46"/>
      <c r="F14" s="46"/>
      <c r="G14" s="46"/>
      <c r="H14" s="57"/>
      <c r="I14" s="46"/>
      <c r="J14" s="46"/>
      <c r="K14" s="48"/>
    </row>
    <row r="15" spans="1:11">
      <c r="A15" s="42" t="s">
        <v>247</v>
      </c>
      <c r="B15" s="117">
        <v>500000</v>
      </c>
      <c r="C15" s="119"/>
      <c r="D15" s="119"/>
      <c r="E15" s="119"/>
      <c r="F15" s="29"/>
      <c r="G15" s="29"/>
      <c r="I15" s="119">
        <v>500000</v>
      </c>
      <c r="J15" s="119"/>
      <c r="K15" s="120"/>
    </row>
    <row r="16" spans="1:11">
      <c r="A16" s="45">
        <v>42736</v>
      </c>
      <c r="B16" s="29">
        <f>300000-30000</f>
        <v>270000</v>
      </c>
      <c r="C16" s="29">
        <v>200000</v>
      </c>
      <c r="D16" s="29">
        <v>30000</v>
      </c>
      <c r="E16" s="29"/>
      <c r="F16" s="29"/>
      <c r="G16" s="29"/>
      <c r="I16" s="29"/>
      <c r="J16" s="29"/>
      <c r="K16" s="36"/>
    </row>
    <row r="17" spans="1:18">
      <c r="A17" s="42" t="s">
        <v>247</v>
      </c>
      <c r="B17" s="115">
        <f>270000+200000+30000</f>
        <v>500000</v>
      </c>
      <c r="C17" s="113"/>
      <c r="D17" s="113"/>
      <c r="E17" s="46"/>
      <c r="F17" s="46"/>
      <c r="G17" s="46"/>
      <c r="H17" s="57"/>
      <c r="I17" s="113">
        <v>500000</v>
      </c>
      <c r="J17" s="113"/>
      <c r="K17" s="116"/>
    </row>
    <row r="18" spans="1:18">
      <c r="A18" s="45">
        <v>42736</v>
      </c>
      <c r="B18" s="29">
        <f>270000-150000</f>
        <v>120000</v>
      </c>
      <c r="C18" s="29">
        <v>200000</v>
      </c>
      <c r="D18" s="29">
        <v>30000</v>
      </c>
      <c r="E18" s="29">
        <v>150000</v>
      </c>
      <c r="F18" s="29"/>
      <c r="G18" s="29"/>
      <c r="I18" s="29"/>
      <c r="J18" s="29"/>
      <c r="K18" s="36"/>
    </row>
    <row r="19" spans="1:18">
      <c r="A19" s="42" t="s">
        <v>247</v>
      </c>
      <c r="B19" s="115">
        <f>B18+C18+D18+E18</f>
        <v>500000</v>
      </c>
      <c r="C19" s="113"/>
      <c r="D19" s="113"/>
      <c r="E19" s="113"/>
      <c r="F19" s="29"/>
      <c r="G19" s="29"/>
      <c r="I19" s="113">
        <v>500000</v>
      </c>
      <c r="J19" s="113"/>
      <c r="K19" s="116"/>
    </row>
    <row r="20" spans="1:18" s="65" customFormat="1">
      <c r="A20" s="61">
        <v>42736</v>
      </c>
      <c r="B20" s="62">
        <f>120000+80000</f>
        <v>200000</v>
      </c>
      <c r="C20" s="62">
        <v>200000</v>
      </c>
      <c r="D20" s="62">
        <v>30000</v>
      </c>
      <c r="E20" s="62">
        <f>150000-60000</f>
        <v>90000</v>
      </c>
      <c r="F20" s="62"/>
      <c r="G20" s="62"/>
      <c r="H20" s="63"/>
      <c r="I20" s="62"/>
      <c r="J20" s="62"/>
      <c r="K20" s="64">
        <f>500000+20000</f>
        <v>520000</v>
      </c>
    </row>
    <row r="21" spans="1:18">
      <c r="A21" s="39" t="s">
        <v>247</v>
      </c>
      <c r="B21" s="29">
        <f>120000+80000</f>
        <v>200000</v>
      </c>
      <c r="C21" s="29">
        <v>200000</v>
      </c>
      <c r="D21" s="29">
        <v>30000</v>
      </c>
      <c r="E21" s="29">
        <f>150000-60000</f>
        <v>90000</v>
      </c>
      <c r="F21" s="29"/>
      <c r="G21" s="29"/>
      <c r="I21" s="29"/>
      <c r="J21" s="29"/>
      <c r="K21" s="36">
        <f>500000+20000</f>
        <v>520000</v>
      </c>
    </row>
    <row r="22" spans="1:18">
      <c r="A22" s="45">
        <v>42736</v>
      </c>
      <c r="B22" s="29"/>
      <c r="C22" s="29"/>
      <c r="D22" s="29"/>
      <c r="E22" s="29">
        <v>30000</v>
      </c>
      <c r="F22" s="29"/>
      <c r="G22" s="29"/>
      <c r="I22" s="29">
        <v>30000</v>
      </c>
      <c r="J22" s="29"/>
      <c r="K22" s="36"/>
    </row>
    <row r="23" spans="1:18">
      <c r="A23" s="39" t="s">
        <v>247</v>
      </c>
      <c r="B23" s="29">
        <v>200000</v>
      </c>
      <c r="C23" s="29">
        <v>200000</v>
      </c>
      <c r="D23" s="58">
        <v>30000</v>
      </c>
      <c r="E23" s="29">
        <f>90000+30000</f>
        <v>120000</v>
      </c>
      <c r="F23" s="29"/>
      <c r="G23" s="29"/>
      <c r="I23" s="29">
        <v>30000</v>
      </c>
      <c r="J23" s="29"/>
      <c r="K23" s="36">
        <v>520000</v>
      </c>
    </row>
    <row r="24" spans="1:18">
      <c r="A24" s="45">
        <v>42736</v>
      </c>
      <c r="B24" s="29"/>
      <c r="C24" s="29"/>
      <c r="D24" s="29"/>
      <c r="E24" s="29">
        <v>-50000</v>
      </c>
      <c r="F24" s="29">
        <v>70000</v>
      </c>
      <c r="G24" s="29"/>
      <c r="I24" s="29"/>
      <c r="J24" s="29"/>
      <c r="K24" s="36">
        <v>20000</v>
      </c>
    </row>
    <row r="25" spans="1:18">
      <c r="A25" s="59" t="s">
        <v>247</v>
      </c>
      <c r="B25" s="29">
        <v>200000</v>
      </c>
      <c r="C25" s="29">
        <v>200000</v>
      </c>
      <c r="D25" s="29">
        <v>30000</v>
      </c>
      <c r="E25" s="29">
        <f>120000-50000</f>
        <v>70000</v>
      </c>
      <c r="F25" s="29">
        <v>70000</v>
      </c>
      <c r="G25" s="29"/>
      <c r="H25" s="29"/>
      <c r="I25" s="29">
        <v>30000</v>
      </c>
      <c r="J25" s="29"/>
      <c r="K25" s="29">
        <f>520000+20000</f>
        <v>540000</v>
      </c>
    </row>
    <row r="26" spans="1:18">
      <c r="A26" s="45">
        <v>42736</v>
      </c>
      <c r="B26">
        <v>-30000</v>
      </c>
      <c r="I26" s="58">
        <v>-30000</v>
      </c>
    </row>
    <row r="27" spans="1:18">
      <c r="A27" s="59" t="s">
        <v>247</v>
      </c>
      <c r="B27">
        <f>200000-30000</f>
        <v>170000</v>
      </c>
      <c r="C27">
        <v>200000</v>
      </c>
      <c r="D27">
        <v>30000</v>
      </c>
      <c r="E27">
        <v>70000</v>
      </c>
      <c r="F27">
        <v>70000</v>
      </c>
      <c r="I27" s="58">
        <v>0</v>
      </c>
      <c r="K27">
        <v>540000</v>
      </c>
    </row>
    <row r="28" spans="1:18">
      <c r="A28" s="45">
        <v>42736</v>
      </c>
      <c r="B28">
        <v>40000</v>
      </c>
      <c r="F28">
        <v>-40000</v>
      </c>
    </row>
    <row r="29" spans="1:18">
      <c r="A29" s="59" t="s">
        <v>247</v>
      </c>
      <c r="B29">
        <f>170000+40000</f>
        <v>210000</v>
      </c>
      <c r="C29">
        <v>200000</v>
      </c>
      <c r="D29">
        <v>30000</v>
      </c>
      <c r="E29">
        <v>70000</v>
      </c>
      <c r="F29">
        <f>70000-40000</f>
        <v>30000</v>
      </c>
      <c r="I29" s="58">
        <v>0</v>
      </c>
      <c r="K29">
        <v>540000</v>
      </c>
    </row>
    <row r="30" spans="1:18">
      <c r="A30" s="45">
        <v>42736</v>
      </c>
      <c r="E30">
        <v>-25000</v>
      </c>
      <c r="K30">
        <v>-25000</v>
      </c>
    </row>
    <row r="31" spans="1:18">
      <c r="A31" s="59" t="s">
        <v>247</v>
      </c>
      <c r="B31">
        <f>170000+40000</f>
        <v>210000</v>
      </c>
      <c r="C31">
        <v>200000</v>
      </c>
      <c r="D31">
        <v>30000</v>
      </c>
      <c r="E31">
        <f>70000-25000</f>
        <v>45000</v>
      </c>
      <c r="F31">
        <v>30000</v>
      </c>
      <c r="I31" s="58">
        <v>0</v>
      </c>
      <c r="K31">
        <f>540000-25000</f>
        <v>515000</v>
      </c>
    </row>
    <row r="32" spans="1:18">
      <c r="A32" s="45">
        <v>42736</v>
      </c>
      <c r="B32">
        <v>-7000</v>
      </c>
      <c r="K32">
        <v>-7000</v>
      </c>
      <c r="L32" s="60" t="s">
        <v>303</v>
      </c>
      <c r="M32" s="60"/>
      <c r="N32" s="60"/>
      <c r="O32" s="60"/>
      <c r="P32" s="60"/>
      <c r="Q32" s="60"/>
      <c r="R32" s="16"/>
    </row>
    <row r="33" spans="1:18">
      <c r="A33" s="59" t="s">
        <v>247</v>
      </c>
      <c r="B33">
        <f>210000-7000</f>
        <v>203000</v>
      </c>
      <c r="C33">
        <v>200000</v>
      </c>
      <c r="D33">
        <v>30000</v>
      </c>
      <c r="E33">
        <f>70000-25000</f>
        <v>45000</v>
      </c>
      <c r="F33">
        <v>30000</v>
      </c>
      <c r="I33" s="58">
        <v>0</v>
      </c>
      <c r="K33">
        <f>515000-7000</f>
        <v>508000</v>
      </c>
      <c r="L33" s="121" t="s">
        <v>304</v>
      </c>
      <c r="M33" s="121"/>
      <c r="N33" s="121"/>
      <c r="O33" s="121"/>
      <c r="P33" s="121"/>
      <c r="Q33" s="121"/>
      <c r="R33" s="121"/>
    </row>
    <row r="34" spans="1:18">
      <c r="A34" s="45">
        <v>42736</v>
      </c>
      <c r="B34">
        <v>50000</v>
      </c>
      <c r="J34">
        <v>50000</v>
      </c>
    </row>
    <row r="35" spans="1:18">
      <c r="A35" s="59" t="s">
        <v>247</v>
      </c>
      <c r="B35">
        <f>203000+50000</f>
        <v>253000</v>
      </c>
      <c r="C35">
        <v>200000</v>
      </c>
      <c r="D35">
        <v>30000</v>
      </c>
      <c r="E35">
        <f>70000-25000</f>
        <v>45000</v>
      </c>
      <c r="F35">
        <v>30000</v>
      </c>
      <c r="J35">
        <v>50000</v>
      </c>
      <c r="K35">
        <f>515000-7000</f>
        <v>508000</v>
      </c>
    </row>
    <row r="36" spans="1:18" ht="15.75" thickBot="1"/>
    <row r="37" spans="1:18" ht="15.75" thickBot="1">
      <c r="A37" s="91" t="s">
        <v>306</v>
      </c>
      <c r="B37" s="91"/>
      <c r="C37" s="104" t="s">
        <v>239</v>
      </c>
      <c r="D37" s="105"/>
      <c r="E37" s="105"/>
      <c r="F37" s="106"/>
      <c r="G37" s="70"/>
    </row>
    <row r="38" spans="1:18" ht="15.75" thickBot="1"/>
    <row r="39" spans="1:18" ht="15.75" thickBot="1">
      <c r="A39" s="66" t="s">
        <v>1</v>
      </c>
      <c r="B39" s="101" t="s">
        <v>51</v>
      </c>
      <c r="C39" s="101"/>
      <c r="D39" s="101"/>
      <c r="E39" s="101"/>
      <c r="F39" s="102"/>
      <c r="G39" s="71"/>
      <c r="H39" s="68"/>
      <c r="I39" s="103" t="s">
        <v>305</v>
      </c>
      <c r="J39" s="101"/>
      <c r="K39" s="69" t="s">
        <v>240</v>
      </c>
    </row>
    <row r="40" spans="1:18" ht="15.75" thickBot="1">
      <c r="B40" s="66" t="s">
        <v>245</v>
      </c>
      <c r="C40" s="67" t="s">
        <v>248</v>
      </c>
      <c r="D40" s="67" t="s">
        <v>249</v>
      </c>
      <c r="E40" s="67" t="s">
        <v>312</v>
      </c>
      <c r="F40" s="69" t="s">
        <v>302</v>
      </c>
      <c r="G40" s="36" t="s">
        <v>317</v>
      </c>
      <c r="I40" s="66" t="s">
        <v>301</v>
      </c>
      <c r="J40" s="67"/>
      <c r="K40" s="69" t="s">
        <v>240</v>
      </c>
    </row>
    <row r="41" spans="1:18">
      <c r="A41" t="s">
        <v>307</v>
      </c>
      <c r="B41">
        <v>300000</v>
      </c>
      <c r="K41">
        <v>300000</v>
      </c>
    </row>
    <row r="42" spans="1:18">
      <c r="A42" t="s">
        <v>247</v>
      </c>
      <c r="B42" s="65">
        <v>300000</v>
      </c>
      <c r="C42" s="65"/>
      <c r="D42" s="65"/>
      <c r="E42" s="65"/>
      <c r="F42" s="65"/>
      <c r="G42" s="65"/>
      <c r="H42" s="63"/>
      <c r="I42" s="65"/>
      <c r="J42" s="65"/>
      <c r="K42" s="65">
        <v>300000</v>
      </c>
    </row>
    <row r="43" spans="1:18">
      <c r="A43" t="s">
        <v>308</v>
      </c>
      <c r="B43">
        <v>-15000</v>
      </c>
      <c r="C43">
        <v>15000</v>
      </c>
    </row>
    <row r="44" spans="1:18">
      <c r="A44" t="s">
        <v>247</v>
      </c>
      <c r="B44" s="65">
        <f>300000-15000</f>
        <v>285000</v>
      </c>
      <c r="C44" s="65">
        <v>15000</v>
      </c>
      <c r="D44" s="65"/>
      <c r="E44" s="65"/>
      <c r="F44" s="65"/>
      <c r="G44" s="65"/>
      <c r="H44" s="63"/>
      <c r="I44" s="65"/>
      <c r="J44" s="65"/>
      <c r="K44" s="65">
        <v>300000</v>
      </c>
    </row>
    <row r="45" spans="1:18">
      <c r="A45" t="s">
        <v>309</v>
      </c>
      <c r="B45">
        <v>-75000</v>
      </c>
      <c r="D45">
        <v>75000</v>
      </c>
    </row>
    <row r="46" spans="1:18">
      <c r="A46" t="s">
        <v>247</v>
      </c>
      <c r="B46" s="65">
        <f>B44-75000</f>
        <v>210000</v>
      </c>
      <c r="C46" s="65">
        <v>15000</v>
      </c>
      <c r="D46" s="65">
        <v>75000</v>
      </c>
      <c r="E46" s="65"/>
      <c r="F46" s="65"/>
      <c r="G46" s="65"/>
      <c r="H46" s="63"/>
      <c r="I46" s="65"/>
      <c r="J46" s="65"/>
      <c r="K46" s="65">
        <v>300000</v>
      </c>
    </row>
    <row r="47" spans="1:18">
      <c r="A47" t="s">
        <v>310</v>
      </c>
      <c r="D47">
        <v>45000</v>
      </c>
      <c r="I47">
        <v>45000</v>
      </c>
    </row>
    <row r="48" spans="1:18">
      <c r="A48" t="s">
        <v>247</v>
      </c>
      <c r="B48" s="65">
        <v>210000</v>
      </c>
      <c r="C48" s="65">
        <v>15000</v>
      </c>
      <c r="D48" s="65">
        <f>75000+45000</f>
        <v>120000</v>
      </c>
      <c r="E48" s="65"/>
      <c r="F48" s="65"/>
      <c r="G48" s="65"/>
      <c r="H48" s="63"/>
      <c r="I48" s="65">
        <v>45000</v>
      </c>
      <c r="J48" s="65"/>
      <c r="K48" s="65">
        <v>300000</v>
      </c>
    </row>
    <row r="49" spans="1:11">
      <c r="A49" t="s">
        <v>311</v>
      </c>
      <c r="B49">
        <v>-22500</v>
      </c>
      <c r="E49">
        <v>22500</v>
      </c>
    </row>
    <row r="50" spans="1:11">
      <c r="A50" t="s">
        <v>247</v>
      </c>
      <c r="B50" s="65">
        <f>210000-22500</f>
        <v>187500</v>
      </c>
      <c r="C50" s="65">
        <v>15000</v>
      </c>
      <c r="D50" s="65">
        <v>120000</v>
      </c>
      <c r="E50" s="65">
        <v>22500</v>
      </c>
      <c r="F50" s="65"/>
      <c r="G50" s="65"/>
      <c r="H50" s="63"/>
      <c r="I50" s="65">
        <v>45000</v>
      </c>
      <c r="J50" s="65"/>
      <c r="K50" s="65">
        <v>300000</v>
      </c>
    </row>
    <row r="51" spans="1:11">
      <c r="A51" t="s">
        <v>313</v>
      </c>
      <c r="B51">
        <v>45000</v>
      </c>
      <c r="D51">
        <v>-37500</v>
      </c>
      <c r="K51">
        <v>7500</v>
      </c>
    </row>
    <row r="52" spans="1:11">
      <c r="A52" t="s">
        <v>247</v>
      </c>
      <c r="B52" s="65">
        <f>187500+45000</f>
        <v>232500</v>
      </c>
      <c r="C52" s="65">
        <v>15000</v>
      </c>
      <c r="D52" s="65">
        <f>120000-37500</f>
        <v>82500</v>
      </c>
      <c r="E52" s="65">
        <v>22500</v>
      </c>
      <c r="F52" s="65"/>
      <c r="G52" s="65"/>
      <c r="H52" s="63"/>
      <c r="I52" s="65">
        <v>45000</v>
      </c>
      <c r="J52" s="65"/>
      <c r="K52" s="65">
        <f>300000+7500</f>
        <v>307500</v>
      </c>
    </row>
    <row r="53" spans="1:11">
      <c r="A53" t="s">
        <v>314</v>
      </c>
      <c r="D53">
        <v>-25500</v>
      </c>
      <c r="F53">
        <v>30000</v>
      </c>
      <c r="K53">
        <v>4500</v>
      </c>
    </row>
    <row r="54" spans="1:11">
      <c r="A54" t="s">
        <v>247</v>
      </c>
      <c r="B54" s="65">
        <f>187500+45000</f>
        <v>232500</v>
      </c>
      <c r="C54" s="65">
        <v>15000</v>
      </c>
      <c r="D54" s="65">
        <f>82500-25500</f>
        <v>57000</v>
      </c>
      <c r="E54" s="65">
        <v>22500</v>
      </c>
      <c r="F54" s="65">
        <v>30000</v>
      </c>
      <c r="G54" s="65"/>
      <c r="H54" s="63"/>
      <c r="I54" s="62">
        <v>45000</v>
      </c>
      <c r="J54" s="65"/>
      <c r="K54" s="65">
        <f>307500+4500</f>
        <v>312000</v>
      </c>
    </row>
    <row r="55" spans="1:11">
      <c r="A55" t="s">
        <v>315</v>
      </c>
      <c r="B55">
        <v>-4500</v>
      </c>
      <c r="K55">
        <v>-4500</v>
      </c>
    </row>
    <row r="56" spans="1:11">
      <c r="A56" t="s">
        <v>247</v>
      </c>
      <c r="B56" s="65">
        <f>232500-4500</f>
        <v>228000</v>
      </c>
      <c r="C56" s="65">
        <v>15000</v>
      </c>
      <c r="D56" s="65">
        <f>82500-25500</f>
        <v>57000</v>
      </c>
      <c r="E56" s="65">
        <v>22500</v>
      </c>
      <c r="F56" s="65">
        <v>30000</v>
      </c>
      <c r="G56" s="65"/>
      <c r="H56" s="63"/>
      <c r="I56" s="62">
        <v>45000</v>
      </c>
      <c r="J56" s="65"/>
      <c r="K56" s="65">
        <f>312000-4500</f>
        <v>307500</v>
      </c>
    </row>
    <row r="57" spans="1:11">
      <c r="A57" t="s">
        <v>316</v>
      </c>
      <c r="B57">
        <v>-22500</v>
      </c>
      <c r="G57">
        <v>22500</v>
      </c>
    </row>
    <row r="58" spans="1:11">
      <c r="A58" t="s">
        <v>247</v>
      </c>
      <c r="B58" s="65">
        <f>228000-22500</f>
        <v>205500</v>
      </c>
      <c r="C58" s="65">
        <v>15000</v>
      </c>
      <c r="D58" s="65">
        <f>82500-25500</f>
        <v>57000</v>
      </c>
      <c r="E58" s="65">
        <v>22500</v>
      </c>
      <c r="F58" s="65">
        <v>30000</v>
      </c>
      <c r="G58" s="65">
        <v>22500</v>
      </c>
      <c r="I58" s="62">
        <v>45000</v>
      </c>
      <c r="J58" s="65"/>
      <c r="K58" s="65">
        <f>312000-4500</f>
        <v>307500</v>
      </c>
    </row>
    <row r="59" spans="1:11">
      <c r="A59" t="s">
        <v>318</v>
      </c>
      <c r="B59">
        <v>-37500</v>
      </c>
      <c r="I59">
        <v>-37500</v>
      </c>
    </row>
    <row r="60" spans="1:11">
      <c r="A60" t="s">
        <v>247</v>
      </c>
      <c r="B60" s="65">
        <f>205500-37500</f>
        <v>168000</v>
      </c>
      <c r="C60" s="65">
        <v>15000</v>
      </c>
      <c r="D60" s="65">
        <f>82500-25500</f>
        <v>57000</v>
      </c>
      <c r="E60" s="65">
        <v>22500</v>
      </c>
      <c r="F60" s="65">
        <v>30000</v>
      </c>
      <c r="G60" s="65">
        <v>22500</v>
      </c>
      <c r="H60" s="63"/>
      <c r="I60" s="65">
        <f>45000-37500</f>
        <v>7500</v>
      </c>
      <c r="J60" s="65"/>
      <c r="K60" s="65">
        <f>312000-4500</f>
        <v>307500</v>
      </c>
    </row>
    <row r="61" spans="1:11">
      <c r="A61" t="s">
        <v>319</v>
      </c>
      <c r="B61">
        <v>22500</v>
      </c>
      <c r="F61">
        <v>-22500</v>
      </c>
    </row>
    <row r="62" spans="1:11">
      <c r="A62" t="s">
        <v>247</v>
      </c>
      <c r="B62" s="65">
        <f>B60+B61</f>
        <v>190500</v>
      </c>
      <c r="C62" s="65">
        <v>15000</v>
      </c>
      <c r="D62" s="65">
        <f>82500-25500</f>
        <v>57000</v>
      </c>
      <c r="E62" s="65">
        <v>22500</v>
      </c>
      <c r="F62" s="65">
        <f>30000-22500</f>
        <v>7500</v>
      </c>
      <c r="G62" s="65">
        <v>22500</v>
      </c>
      <c r="I62" s="65">
        <f>45000-37500</f>
        <v>7500</v>
      </c>
      <c r="J62" s="65"/>
      <c r="K62" s="65">
        <f>312000-4500</f>
        <v>307500</v>
      </c>
    </row>
    <row r="63" spans="1:11">
      <c r="A63" t="s">
        <v>320</v>
      </c>
      <c r="B63">
        <v>-4500</v>
      </c>
      <c r="K63">
        <v>-4500</v>
      </c>
    </row>
    <row r="64" spans="1:11">
      <c r="A64" t="s">
        <v>247</v>
      </c>
      <c r="B64" s="65">
        <f>190500-4500</f>
        <v>186000</v>
      </c>
      <c r="C64" s="65">
        <v>15000</v>
      </c>
      <c r="D64" s="65">
        <f>82500-25500</f>
        <v>57000</v>
      </c>
      <c r="E64" s="65">
        <v>22500</v>
      </c>
      <c r="F64" s="65">
        <f>30000-22500</f>
        <v>7500</v>
      </c>
      <c r="G64" s="65">
        <v>22500</v>
      </c>
      <c r="H64" s="63"/>
      <c r="I64" s="65">
        <f>45000-37500</f>
        <v>7500</v>
      </c>
      <c r="J64" s="65"/>
      <c r="K64" s="65">
        <f>307500-4500</f>
        <v>303000</v>
      </c>
    </row>
    <row r="65" spans="1:11">
      <c r="A65" t="s">
        <v>321</v>
      </c>
      <c r="B65">
        <v>-3000</v>
      </c>
      <c r="K65">
        <v>-3000</v>
      </c>
    </row>
    <row r="66" spans="1:11">
      <c r="A66" t="s">
        <v>247</v>
      </c>
      <c r="B66" s="65">
        <f>186000-3000</f>
        <v>183000</v>
      </c>
      <c r="C66" s="65">
        <v>15000</v>
      </c>
      <c r="D66" s="65">
        <f>82500-25500</f>
        <v>57000</v>
      </c>
      <c r="E66" s="65">
        <v>22500</v>
      </c>
      <c r="F66" s="65">
        <f>30000-22500</f>
        <v>7500</v>
      </c>
      <c r="G66" s="65">
        <v>22500</v>
      </c>
      <c r="H66" s="63"/>
      <c r="I66" s="65">
        <f>45000-37500</f>
        <v>7500</v>
      </c>
      <c r="J66" s="65"/>
      <c r="K66" s="65">
        <f>300000</f>
        <v>300000</v>
      </c>
    </row>
    <row r="67" spans="1:11">
      <c r="B67">
        <f>22500</f>
        <v>22500</v>
      </c>
      <c r="K67">
        <v>22500</v>
      </c>
    </row>
    <row r="68" spans="1:11">
      <c r="B68">
        <f>B66+B67</f>
        <v>205500</v>
      </c>
      <c r="C68" s="65">
        <v>15000</v>
      </c>
      <c r="D68" s="65">
        <f>82500-25500</f>
        <v>57000</v>
      </c>
      <c r="E68" s="65">
        <v>22500</v>
      </c>
      <c r="F68" s="65">
        <f>30000-22500</f>
        <v>7500</v>
      </c>
      <c r="G68" s="65">
        <v>22500</v>
      </c>
      <c r="I68" s="65">
        <f>45000-37500</f>
        <v>7500</v>
      </c>
      <c r="J68" s="65"/>
      <c r="K68" s="65">
        <f>22500+300000</f>
        <v>322500</v>
      </c>
    </row>
    <row r="71" spans="1:11" ht="15.75" thickBot="1"/>
    <row r="72" spans="1:11" ht="15.75" thickBot="1">
      <c r="A72" s="91" t="s">
        <v>410</v>
      </c>
      <c r="B72" s="91"/>
      <c r="C72" s="104" t="s">
        <v>239</v>
      </c>
      <c r="D72" s="105"/>
      <c r="E72" s="105"/>
      <c r="F72" s="106"/>
      <c r="G72" s="70"/>
    </row>
    <row r="73" spans="1:11" ht="15.75" thickBot="1"/>
    <row r="74" spans="1:11" ht="15.75" thickBot="1">
      <c r="A74" s="66" t="s">
        <v>1</v>
      </c>
      <c r="B74" s="101" t="s">
        <v>51</v>
      </c>
      <c r="C74" s="101"/>
      <c r="D74" s="101"/>
      <c r="E74" s="101"/>
      <c r="F74" s="102"/>
      <c r="G74" s="74"/>
      <c r="H74" s="68"/>
      <c r="I74" s="103" t="s">
        <v>305</v>
      </c>
      <c r="J74" s="101"/>
      <c r="K74" s="69" t="s">
        <v>240</v>
      </c>
    </row>
    <row r="75" spans="1:11" ht="15.75" thickBot="1">
      <c r="B75" s="66" t="s">
        <v>245</v>
      </c>
      <c r="C75" s="67" t="s">
        <v>246</v>
      </c>
      <c r="D75" s="67" t="s">
        <v>249</v>
      </c>
      <c r="E75" s="67" t="s">
        <v>302</v>
      </c>
      <c r="F75" s="69" t="s">
        <v>411</v>
      </c>
      <c r="G75" s="36"/>
      <c r="I75" s="66" t="s">
        <v>301</v>
      </c>
      <c r="J75" s="67"/>
      <c r="K75" s="69"/>
    </row>
    <row r="76" spans="1:11">
      <c r="A76" t="s">
        <v>70</v>
      </c>
      <c r="B76">
        <v>110000</v>
      </c>
      <c r="C76">
        <v>100000</v>
      </c>
      <c r="D76">
        <v>40000</v>
      </c>
      <c r="K76">
        <f>110000+100000+40000</f>
        <v>250000</v>
      </c>
    </row>
    <row r="77" spans="1:11">
      <c r="A77" t="s">
        <v>247</v>
      </c>
      <c r="B77" s="75">
        <v>110000</v>
      </c>
      <c r="C77" s="75">
        <v>100000</v>
      </c>
      <c r="D77" s="75">
        <v>40000</v>
      </c>
      <c r="E77" s="75"/>
      <c r="F77" s="75"/>
      <c r="G77" s="75"/>
      <c r="H77" s="76"/>
      <c r="I77" s="75"/>
      <c r="J77" s="75"/>
      <c r="K77" s="75">
        <f>110000+100000+40000</f>
        <v>250000</v>
      </c>
    </row>
    <row r="78" spans="1:11">
      <c r="A78" t="s">
        <v>231</v>
      </c>
      <c r="D78">
        <v>30000</v>
      </c>
      <c r="I78">
        <v>30000</v>
      </c>
    </row>
    <row r="79" spans="1:11">
      <c r="A79" t="s">
        <v>247</v>
      </c>
      <c r="B79" s="75">
        <v>110000</v>
      </c>
      <c r="C79" s="75">
        <v>100000</v>
      </c>
      <c r="D79" s="75">
        <v>70000</v>
      </c>
      <c r="E79" s="75"/>
      <c r="F79" s="75"/>
      <c r="G79" s="75"/>
      <c r="H79" s="76"/>
      <c r="I79" s="75">
        <v>30000</v>
      </c>
      <c r="J79" s="75"/>
      <c r="K79" s="75">
        <v>250000</v>
      </c>
    </row>
    <row r="80" spans="1:11">
      <c r="A80" t="s">
        <v>233</v>
      </c>
      <c r="D80">
        <v>-40000</v>
      </c>
      <c r="E80">
        <v>40000</v>
      </c>
    </row>
    <row r="81" spans="1:11">
      <c r="A81" t="s">
        <v>247</v>
      </c>
      <c r="B81" s="75">
        <v>110000</v>
      </c>
      <c r="C81" s="75">
        <v>100000</v>
      </c>
      <c r="D81" s="75">
        <v>30000</v>
      </c>
      <c r="E81" s="75">
        <v>40000</v>
      </c>
      <c r="F81" s="75"/>
      <c r="G81" s="75"/>
      <c r="H81" s="76"/>
      <c r="I81" s="75">
        <v>30000</v>
      </c>
      <c r="J81" s="75"/>
      <c r="K81" s="75">
        <v>250000</v>
      </c>
    </row>
    <row r="82" spans="1:11">
      <c r="A82" t="s">
        <v>235</v>
      </c>
      <c r="B82">
        <v>-20000</v>
      </c>
      <c r="F82">
        <v>20000</v>
      </c>
    </row>
    <row r="83" spans="1:11">
      <c r="A83" t="s">
        <v>247</v>
      </c>
      <c r="B83" s="75">
        <v>90000</v>
      </c>
      <c r="C83" s="75">
        <v>100000</v>
      </c>
      <c r="D83" s="75">
        <v>30000</v>
      </c>
      <c r="E83" s="75">
        <v>40000</v>
      </c>
      <c r="F83" s="75">
        <v>20000</v>
      </c>
      <c r="G83" s="75"/>
      <c r="H83" s="76"/>
      <c r="I83" s="75">
        <v>30000</v>
      </c>
      <c r="J83" s="75"/>
      <c r="K83" s="75">
        <v>250000</v>
      </c>
    </row>
    <row r="84" spans="1:11">
      <c r="A84" t="s">
        <v>237</v>
      </c>
      <c r="B84">
        <v>-20000</v>
      </c>
      <c r="I84">
        <v>-20000</v>
      </c>
    </row>
    <row r="85" spans="1:11">
      <c r="A85" t="s">
        <v>247</v>
      </c>
      <c r="B85" s="75">
        <v>70000</v>
      </c>
      <c r="C85" s="75">
        <v>100000</v>
      </c>
      <c r="D85" s="75">
        <v>30000</v>
      </c>
      <c r="E85" s="75">
        <v>40000</v>
      </c>
      <c r="F85" s="75">
        <v>20000</v>
      </c>
      <c r="G85" s="75"/>
      <c r="I85" s="75">
        <v>10000</v>
      </c>
      <c r="J85" s="75"/>
      <c r="K85" s="75">
        <v>250000</v>
      </c>
    </row>
    <row r="86" spans="1:11">
      <c r="A86">
        <v>6</v>
      </c>
      <c r="B86">
        <v>30000</v>
      </c>
      <c r="E86">
        <v>-30000</v>
      </c>
    </row>
    <row r="87" spans="1:11">
      <c r="A87" t="s">
        <v>247</v>
      </c>
      <c r="B87" s="75">
        <v>100000</v>
      </c>
      <c r="C87" s="75">
        <v>100000</v>
      </c>
      <c r="D87" s="75">
        <v>30000</v>
      </c>
      <c r="E87" s="75">
        <v>10000</v>
      </c>
      <c r="F87" s="75">
        <v>20000</v>
      </c>
      <c r="G87" s="75"/>
      <c r="H87" s="76"/>
      <c r="I87" s="75">
        <v>10000</v>
      </c>
      <c r="J87" s="75"/>
      <c r="K87" s="75">
        <v>250000</v>
      </c>
    </row>
    <row r="88" spans="1:11">
      <c r="A88">
        <v>7</v>
      </c>
      <c r="C88">
        <v>-30000</v>
      </c>
      <c r="K88">
        <v>-30000</v>
      </c>
    </row>
    <row r="89" spans="1:11">
      <c r="A89" t="s">
        <v>247</v>
      </c>
      <c r="B89" s="75">
        <v>100000</v>
      </c>
      <c r="C89" s="75">
        <v>70000</v>
      </c>
      <c r="D89" s="75">
        <v>30000</v>
      </c>
      <c r="E89" s="75">
        <v>10000</v>
      </c>
      <c r="F89" s="75">
        <v>20000</v>
      </c>
      <c r="G89" s="75"/>
      <c r="H89" s="76"/>
      <c r="I89" s="75">
        <v>10000</v>
      </c>
      <c r="J89" s="75"/>
      <c r="K89" s="75">
        <v>220000</v>
      </c>
    </row>
    <row r="90" spans="1:11">
      <c r="A90">
        <v>8</v>
      </c>
      <c r="F90">
        <v>20000</v>
      </c>
      <c r="K90">
        <v>20000</v>
      </c>
    </row>
    <row r="91" spans="1:11">
      <c r="A91" t="s">
        <v>247</v>
      </c>
      <c r="B91" s="75">
        <v>100000</v>
      </c>
      <c r="C91" s="75">
        <v>70000</v>
      </c>
      <c r="D91" s="75">
        <v>30000</v>
      </c>
      <c r="E91" s="75">
        <v>10000</v>
      </c>
      <c r="F91" s="75">
        <v>40000</v>
      </c>
      <c r="G91" s="75"/>
      <c r="I91" s="77">
        <v>10000</v>
      </c>
      <c r="J91" s="75"/>
      <c r="K91" s="75">
        <v>240000</v>
      </c>
    </row>
    <row r="92" spans="1:11">
      <c r="A92">
        <v>9</v>
      </c>
      <c r="F92">
        <v>-4000</v>
      </c>
      <c r="K92">
        <v>-4000</v>
      </c>
    </row>
    <row r="93" spans="1:11">
      <c r="A93" t="s">
        <v>247</v>
      </c>
      <c r="B93" s="75">
        <v>100000</v>
      </c>
      <c r="C93" s="75">
        <v>70000</v>
      </c>
      <c r="D93" s="75">
        <v>30000</v>
      </c>
      <c r="E93" s="75">
        <v>10000</v>
      </c>
      <c r="F93" s="75">
        <v>36000</v>
      </c>
      <c r="G93" s="75"/>
      <c r="H93" s="76"/>
      <c r="I93" s="77">
        <v>10000</v>
      </c>
      <c r="J93" s="75"/>
      <c r="K93" s="75">
        <v>236000</v>
      </c>
    </row>
    <row r="94" spans="1:11">
      <c r="A94">
        <v>10</v>
      </c>
      <c r="D94">
        <v>-4000</v>
      </c>
      <c r="I94">
        <v>-4000</v>
      </c>
    </row>
    <row r="95" spans="1:11">
      <c r="A95" t="s">
        <v>247</v>
      </c>
      <c r="B95" s="75">
        <v>100000</v>
      </c>
      <c r="C95" s="75">
        <v>70000</v>
      </c>
      <c r="D95" s="75">
        <v>26000</v>
      </c>
      <c r="E95" s="75">
        <v>10000</v>
      </c>
      <c r="F95" s="75">
        <v>36000</v>
      </c>
      <c r="G95" s="75"/>
      <c r="I95" s="77">
        <v>6000</v>
      </c>
      <c r="J95" s="75"/>
      <c r="K95" s="75">
        <v>236000</v>
      </c>
    </row>
    <row r="98" spans="1:15">
      <c r="C98">
        <f>242000</f>
        <v>242000</v>
      </c>
      <c r="J98">
        <f>242000</f>
        <v>242000</v>
      </c>
    </row>
    <row r="101" spans="1:15" ht="15.75" thickBot="1">
      <c r="C101" s="107" t="s">
        <v>413</v>
      </c>
      <c r="D101" s="107"/>
      <c r="E101" s="107"/>
    </row>
    <row r="102" spans="1:15" ht="15.75" thickBot="1">
      <c r="A102" s="91" t="s">
        <v>412</v>
      </c>
      <c r="B102" s="91"/>
      <c r="C102" s="104" t="s">
        <v>239</v>
      </c>
      <c r="D102" s="105"/>
      <c r="E102" s="105"/>
      <c r="F102" s="106"/>
      <c r="G102" s="70"/>
    </row>
    <row r="103" spans="1:15" ht="15.75" thickBot="1"/>
    <row r="104" spans="1:15" ht="15.75" thickBot="1">
      <c r="A104" s="66" t="s">
        <v>1</v>
      </c>
      <c r="B104" s="101" t="s">
        <v>51</v>
      </c>
      <c r="C104" s="101"/>
      <c r="D104" s="101"/>
      <c r="E104" s="101"/>
      <c r="F104" s="102"/>
      <c r="G104" s="74"/>
      <c r="H104" s="68"/>
      <c r="I104" s="103" t="s">
        <v>305</v>
      </c>
      <c r="J104" s="101"/>
      <c r="K104" s="69" t="s">
        <v>240</v>
      </c>
    </row>
    <row r="105" spans="1:15" ht="15.75" thickBot="1">
      <c r="B105" s="66" t="s">
        <v>245</v>
      </c>
      <c r="C105" s="67" t="s">
        <v>246</v>
      </c>
      <c r="D105" s="67" t="s">
        <v>249</v>
      </c>
      <c r="E105" s="67" t="s">
        <v>302</v>
      </c>
      <c r="F105" s="69"/>
      <c r="G105" s="36"/>
      <c r="I105" s="66" t="s">
        <v>415</v>
      </c>
      <c r="J105" s="67"/>
      <c r="K105" s="69"/>
      <c r="N105" t="s">
        <v>416</v>
      </c>
    </row>
    <row r="106" spans="1:15">
      <c r="A106" t="s">
        <v>414</v>
      </c>
      <c r="B106" s="75">
        <v>50000</v>
      </c>
      <c r="C106" s="75">
        <v>140000</v>
      </c>
      <c r="D106" s="75">
        <v>44000</v>
      </c>
      <c r="E106" s="75">
        <v>34000</v>
      </c>
      <c r="F106" s="75"/>
      <c r="G106" s="75"/>
      <c r="H106" s="76"/>
      <c r="I106" s="75">
        <v>80000</v>
      </c>
      <c r="J106" s="75"/>
      <c r="K106" s="75">
        <v>188000</v>
      </c>
      <c r="M106">
        <v>8000</v>
      </c>
      <c r="N106">
        <f>8000*10/100</f>
        <v>800</v>
      </c>
      <c r="O106">
        <f>7200</f>
        <v>7200</v>
      </c>
    </row>
    <row r="107" spans="1:15">
      <c r="A107" s="27">
        <v>42736</v>
      </c>
      <c r="B107">
        <v>-7200</v>
      </c>
      <c r="D107">
        <v>7200</v>
      </c>
    </row>
    <row r="108" spans="1:15">
      <c r="A108" t="s">
        <v>414</v>
      </c>
      <c r="B108" s="75">
        <v>42800</v>
      </c>
      <c r="C108" s="75">
        <v>140000</v>
      </c>
      <c r="D108" s="75">
        <v>51200</v>
      </c>
      <c r="E108" s="75">
        <v>34000</v>
      </c>
      <c r="F108" s="75"/>
      <c r="G108" s="75"/>
      <c r="H108" s="76"/>
      <c r="I108" s="75">
        <v>80000</v>
      </c>
      <c r="J108" s="75"/>
      <c r="K108" s="75">
        <v>188000</v>
      </c>
    </row>
    <row r="109" spans="1:15">
      <c r="A109" s="27">
        <v>42740</v>
      </c>
      <c r="B109">
        <v>24000</v>
      </c>
      <c r="D109">
        <v>-21000</v>
      </c>
      <c r="K109">
        <v>3000</v>
      </c>
    </row>
    <row r="110" spans="1:15">
      <c r="A110" t="s">
        <v>414</v>
      </c>
      <c r="B110" s="77">
        <v>66800</v>
      </c>
      <c r="C110" s="75">
        <v>140000</v>
      </c>
      <c r="D110" s="75">
        <v>30200</v>
      </c>
      <c r="E110" s="75">
        <v>34000</v>
      </c>
      <c r="F110" s="75"/>
      <c r="G110" s="75"/>
      <c r="H110" s="76"/>
      <c r="I110" s="75">
        <v>80000</v>
      </c>
      <c r="J110" s="75"/>
      <c r="K110" s="77">
        <v>191000</v>
      </c>
    </row>
    <row r="111" spans="1:15">
      <c r="A111" s="27">
        <v>42742</v>
      </c>
      <c r="B111">
        <v>-50000</v>
      </c>
      <c r="I111">
        <v>-50000</v>
      </c>
    </row>
    <row r="112" spans="1:15">
      <c r="A112" t="s">
        <v>414</v>
      </c>
      <c r="B112" s="77">
        <v>16800</v>
      </c>
      <c r="C112" s="75">
        <v>140000</v>
      </c>
      <c r="D112" s="75">
        <v>30200</v>
      </c>
      <c r="E112" s="75">
        <v>34000</v>
      </c>
      <c r="F112" s="75"/>
      <c r="G112" s="75"/>
      <c r="H112" s="76"/>
      <c r="I112" s="75">
        <v>30000</v>
      </c>
      <c r="J112" s="75"/>
      <c r="K112" s="77">
        <v>1910000</v>
      </c>
    </row>
    <row r="113" spans="1:16">
      <c r="A113" s="27">
        <v>42744</v>
      </c>
      <c r="B113">
        <v>10000</v>
      </c>
      <c r="D113">
        <v>-12000</v>
      </c>
      <c r="E113">
        <v>6000</v>
      </c>
      <c r="K113">
        <v>4000</v>
      </c>
    </row>
    <row r="114" spans="1:16">
      <c r="A114" t="s">
        <v>414</v>
      </c>
      <c r="B114" s="77">
        <v>26800</v>
      </c>
      <c r="C114" s="75">
        <v>140000</v>
      </c>
      <c r="D114" s="75">
        <v>18200</v>
      </c>
      <c r="E114" s="75">
        <v>40000</v>
      </c>
      <c r="F114" s="75"/>
      <c r="G114" s="75"/>
      <c r="H114" s="76"/>
      <c r="I114" s="75">
        <v>30000</v>
      </c>
      <c r="J114" s="75"/>
      <c r="K114" s="77">
        <v>195000</v>
      </c>
    </row>
    <row r="115" spans="1:16">
      <c r="A115" s="27">
        <v>42746</v>
      </c>
      <c r="D115">
        <v>3800</v>
      </c>
      <c r="E115">
        <v>-4000</v>
      </c>
      <c r="K115">
        <v>-200</v>
      </c>
    </row>
    <row r="116" spans="1:16">
      <c r="A116" t="s">
        <v>414</v>
      </c>
      <c r="B116" s="77">
        <v>26800</v>
      </c>
      <c r="C116" s="75">
        <v>140000</v>
      </c>
      <c r="D116" s="75">
        <v>22000</v>
      </c>
      <c r="E116" s="75">
        <v>36000</v>
      </c>
      <c r="F116" s="75"/>
      <c r="G116" s="75"/>
      <c r="H116" s="76"/>
      <c r="I116" s="75">
        <v>30000</v>
      </c>
      <c r="J116" s="75"/>
      <c r="K116" s="77">
        <v>194800</v>
      </c>
    </row>
    <row r="117" spans="1:16">
      <c r="A117" s="27">
        <v>42750</v>
      </c>
      <c r="B117">
        <v>28000</v>
      </c>
      <c r="E117">
        <v>-28000</v>
      </c>
    </row>
    <row r="118" spans="1:16">
      <c r="A118" t="s">
        <v>414</v>
      </c>
      <c r="B118" s="77">
        <v>54800</v>
      </c>
      <c r="C118" s="75">
        <v>140000</v>
      </c>
      <c r="D118" s="75">
        <v>22000</v>
      </c>
      <c r="E118" s="75">
        <v>8000</v>
      </c>
      <c r="F118" s="75"/>
      <c r="G118" s="75"/>
      <c r="H118" s="76"/>
      <c r="I118" s="75">
        <v>30000</v>
      </c>
      <c r="J118" s="75"/>
      <c r="K118" s="77">
        <v>194800</v>
      </c>
    </row>
    <row r="119" spans="1:16">
      <c r="A119" s="27">
        <v>42753</v>
      </c>
      <c r="B119">
        <v>-2000</v>
      </c>
      <c r="K119">
        <v>-2000</v>
      </c>
    </row>
    <row r="120" spans="1:16">
      <c r="A120" t="s">
        <v>414</v>
      </c>
      <c r="B120" s="77">
        <v>52800</v>
      </c>
      <c r="C120" s="75">
        <v>140000</v>
      </c>
      <c r="D120" s="75">
        <v>22000</v>
      </c>
      <c r="E120" s="75">
        <v>8000</v>
      </c>
      <c r="F120" s="75"/>
      <c r="G120" s="75"/>
      <c r="H120" s="76"/>
      <c r="I120" s="75">
        <v>30000</v>
      </c>
      <c r="J120" s="75"/>
      <c r="K120" s="75">
        <v>192800</v>
      </c>
    </row>
    <row r="121" spans="1:16">
      <c r="A121" s="27">
        <v>42757</v>
      </c>
      <c r="C121">
        <v>-2800</v>
      </c>
      <c r="K121">
        <v>-2800</v>
      </c>
    </row>
    <row r="122" spans="1:16">
      <c r="A122" t="s">
        <v>414</v>
      </c>
      <c r="B122" s="77">
        <v>52800</v>
      </c>
      <c r="C122" s="75">
        <v>137200</v>
      </c>
      <c r="D122" s="75">
        <v>22000</v>
      </c>
      <c r="E122" s="75">
        <v>8000</v>
      </c>
      <c r="F122" s="75"/>
      <c r="G122" s="75"/>
      <c r="H122" s="76"/>
      <c r="I122" s="75">
        <v>30000</v>
      </c>
      <c r="J122" s="75"/>
      <c r="K122" s="75">
        <v>190000</v>
      </c>
      <c r="M122" t="s">
        <v>422</v>
      </c>
      <c r="N122" t="s">
        <v>423</v>
      </c>
      <c r="O122" t="s">
        <v>424</v>
      </c>
      <c r="P122" t="s">
        <v>425</v>
      </c>
    </row>
    <row r="123" spans="1:16">
      <c r="A123" s="27">
        <v>42764</v>
      </c>
      <c r="B123">
        <v>-1200</v>
      </c>
      <c r="K123">
        <v>-1200</v>
      </c>
      <c r="M123">
        <v>12000</v>
      </c>
      <c r="N123" s="28">
        <v>0.1</v>
      </c>
      <c r="O123">
        <f>12000*10/100</f>
        <v>1200</v>
      </c>
      <c r="P123">
        <f>12000-1200</f>
        <v>10800</v>
      </c>
    </row>
    <row r="124" spans="1:16">
      <c r="A124" t="s">
        <v>414</v>
      </c>
      <c r="B124" s="77">
        <v>51600</v>
      </c>
      <c r="C124" s="75">
        <v>137200</v>
      </c>
      <c r="D124" s="75">
        <v>22000</v>
      </c>
      <c r="E124" s="75">
        <v>8000</v>
      </c>
      <c r="F124" s="75"/>
      <c r="G124" s="75"/>
      <c r="H124" s="76"/>
      <c r="I124" s="75">
        <v>30000</v>
      </c>
      <c r="J124" s="75"/>
      <c r="K124" s="75">
        <v>188800</v>
      </c>
    </row>
    <row r="125" spans="1:16">
      <c r="A125" s="27">
        <v>42765</v>
      </c>
      <c r="B125">
        <v>-6000</v>
      </c>
      <c r="K125">
        <v>-6000</v>
      </c>
    </row>
    <row r="126" spans="1:16">
      <c r="A126" t="s">
        <v>414</v>
      </c>
      <c r="B126" s="75">
        <f>45600</f>
        <v>45600</v>
      </c>
      <c r="C126" s="75">
        <v>137200</v>
      </c>
      <c r="D126" s="75">
        <v>22000</v>
      </c>
      <c r="E126" s="75">
        <v>8000</v>
      </c>
      <c r="F126" s="75"/>
      <c r="G126" s="75"/>
      <c r="H126" s="76"/>
      <c r="I126" s="75">
        <v>30000</v>
      </c>
      <c r="J126" s="75"/>
      <c r="K126" s="75">
        <v>182800</v>
      </c>
    </row>
    <row r="127" spans="1:16">
      <c r="M127" t="s">
        <v>185</v>
      </c>
      <c r="N127" t="s">
        <v>421</v>
      </c>
      <c r="O127" t="s">
        <v>420</v>
      </c>
    </row>
    <row r="128" spans="1:16">
      <c r="M128">
        <v>15000</v>
      </c>
      <c r="N128">
        <f>15000*10/100</f>
        <v>1500</v>
      </c>
      <c r="O128">
        <f>15000-1500</f>
        <v>13500</v>
      </c>
    </row>
    <row r="129" spans="1:14">
      <c r="D129">
        <v>212800</v>
      </c>
      <c r="J129">
        <v>212800</v>
      </c>
    </row>
    <row r="132" spans="1:14" ht="15.75" thickBot="1"/>
    <row r="133" spans="1:14" ht="15.75" thickBot="1">
      <c r="A133" s="66" t="s">
        <v>1</v>
      </c>
      <c r="B133" s="101" t="s">
        <v>51</v>
      </c>
      <c r="C133" s="101"/>
      <c r="D133" s="101"/>
      <c r="E133" s="101"/>
      <c r="F133" s="102"/>
      <c r="G133" s="74"/>
      <c r="H133" s="68"/>
      <c r="I133" s="103" t="s">
        <v>305</v>
      </c>
      <c r="J133" s="101"/>
      <c r="K133" s="69" t="s">
        <v>240</v>
      </c>
    </row>
    <row r="134" spans="1:14" ht="15.75" thickBot="1">
      <c r="B134" s="66" t="s">
        <v>245</v>
      </c>
      <c r="C134" s="67" t="s">
        <v>248</v>
      </c>
      <c r="D134" s="67" t="s">
        <v>249</v>
      </c>
      <c r="E134" s="67" t="s">
        <v>302</v>
      </c>
      <c r="F134" s="69"/>
      <c r="G134" s="36"/>
      <c r="I134" s="66" t="s">
        <v>415</v>
      </c>
      <c r="J134" s="67"/>
      <c r="K134" s="69"/>
    </row>
    <row r="135" spans="1:14">
      <c r="B135">
        <v>60000</v>
      </c>
      <c r="C135">
        <v>90000</v>
      </c>
      <c r="D135">
        <v>72000</v>
      </c>
      <c r="E135">
        <v>45000</v>
      </c>
      <c r="I135">
        <v>45000</v>
      </c>
      <c r="K135">
        <v>222000</v>
      </c>
      <c r="L135" t="s">
        <v>418</v>
      </c>
      <c r="M135" t="s">
        <v>417</v>
      </c>
      <c r="N135">
        <v>267000</v>
      </c>
    </row>
    <row r="136" spans="1:14">
      <c r="M136" t="s">
        <v>419</v>
      </c>
      <c r="N136">
        <v>45000</v>
      </c>
    </row>
    <row r="137" spans="1:14">
      <c r="L137" t="s">
        <v>240</v>
      </c>
      <c r="N137">
        <f>N135-N136</f>
        <v>222000</v>
      </c>
    </row>
  </sheetData>
  <mergeCells count="31">
    <mergeCell ref="L33:R33"/>
    <mergeCell ref="B39:F39"/>
    <mergeCell ref="I39:J39"/>
    <mergeCell ref="A37:B37"/>
    <mergeCell ref="C37:F37"/>
    <mergeCell ref="B19:E19"/>
    <mergeCell ref="I19:K19"/>
    <mergeCell ref="B13:E13"/>
    <mergeCell ref="I13:K13"/>
    <mergeCell ref="B15:E15"/>
    <mergeCell ref="I15:K15"/>
    <mergeCell ref="B17:D17"/>
    <mergeCell ref="I17:K17"/>
    <mergeCell ref="C2:J4"/>
    <mergeCell ref="B10:F10"/>
    <mergeCell ref="I10:J10"/>
    <mergeCell ref="B6:D6"/>
    <mergeCell ref="D7:F7"/>
    <mergeCell ref="C8:F8"/>
    <mergeCell ref="D9:F9"/>
    <mergeCell ref="C101:E101"/>
    <mergeCell ref="A72:B72"/>
    <mergeCell ref="C72:F72"/>
    <mergeCell ref="B74:F74"/>
    <mergeCell ref="I74:J74"/>
    <mergeCell ref="B133:F133"/>
    <mergeCell ref="I133:J133"/>
    <mergeCell ref="A102:B102"/>
    <mergeCell ref="C102:F102"/>
    <mergeCell ref="B104:F104"/>
    <mergeCell ref="I104:J10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6:H31"/>
  <sheetViews>
    <sheetView workbookViewId="0">
      <selection activeCell="B31" sqref="B31"/>
    </sheetView>
  </sheetViews>
  <sheetFormatPr defaultRowHeight="15"/>
  <cols>
    <col min="1" max="1" width="47.42578125" customWidth="1"/>
    <col min="2" max="2" width="74.7109375" customWidth="1"/>
    <col min="3" max="3" width="21.7109375" customWidth="1"/>
    <col min="4" max="4" width="9.140625" hidden="1" customWidth="1"/>
    <col min="5" max="5" width="17.7109375" customWidth="1"/>
    <col min="6" max="6" width="0.42578125" hidden="1" customWidth="1"/>
    <col min="7" max="7" width="35" customWidth="1"/>
  </cols>
  <sheetData>
    <row r="6" spans="1:2">
      <c r="A6" t="s">
        <v>326</v>
      </c>
      <c r="B6" t="s">
        <v>322</v>
      </c>
    </row>
    <row r="7" spans="1:2">
      <c r="A7" t="s">
        <v>327</v>
      </c>
      <c r="B7" t="s">
        <v>323</v>
      </c>
    </row>
    <row r="8" spans="1:2">
      <c r="A8" t="s">
        <v>328</v>
      </c>
      <c r="B8" t="s">
        <v>324</v>
      </c>
    </row>
    <row r="9" spans="1:2">
      <c r="B9" t="s">
        <v>325</v>
      </c>
    </row>
    <row r="13" spans="1:2">
      <c r="A13" t="s">
        <v>329</v>
      </c>
    </row>
    <row r="14" spans="1:2">
      <c r="B14" t="s">
        <v>330</v>
      </c>
    </row>
    <row r="15" spans="1:2">
      <c r="A15" t="s">
        <v>331</v>
      </c>
      <c r="B15" t="s">
        <v>332</v>
      </c>
    </row>
    <row r="16" spans="1:2">
      <c r="A16" t="s">
        <v>333</v>
      </c>
    </row>
    <row r="17" spans="1:8">
      <c r="A17" t="s">
        <v>334</v>
      </c>
      <c r="B17" t="s">
        <v>335</v>
      </c>
    </row>
    <row r="18" spans="1:8">
      <c r="A18" t="s">
        <v>336</v>
      </c>
      <c r="B18" t="s">
        <v>337</v>
      </c>
    </row>
    <row r="19" spans="1:8">
      <c r="A19" t="s">
        <v>338</v>
      </c>
      <c r="B19" t="s">
        <v>339</v>
      </c>
    </row>
    <row r="20" spans="1:8">
      <c r="A20" t="s">
        <v>340</v>
      </c>
      <c r="B20" t="s">
        <v>341</v>
      </c>
    </row>
    <row r="23" spans="1:8" ht="15.75" thickBot="1">
      <c r="A23" s="65" t="s">
        <v>344</v>
      </c>
    </row>
    <row r="24" spans="1:8" ht="15.75" thickBot="1">
      <c r="B24" t="s">
        <v>342</v>
      </c>
      <c r="E24" s="104" t="s">
        <v>347</v>
      </c>
      <c r="F24" s="105"/>
      <c r="G24" s="106"/>
    </row>
    <row r="25" spans="1:8" ht="15.75" thickBot="1">
      <c r="B25" t="s">
        <v>343</v>
      </c>
    </row>
    <row r="26" spans="1:8" ht="15.75" thickBot="1">
      <c r="A26" s="65" t="s">
        <v>345</v>
      </c>
      <c r="C26" s="66" t="s">
        <v>348</v>
      </c>
      <c r="D26" s="67"/>
      <c r="E26" s="67" t="s">
        <v>4</v>
      </c>
      <c r="F26" s="67"/>
      <c r="G26" s="67" t="s">
        <v>348</v>
      </c>
      <c r="H26" s="69" t="s">
        <v>5</v>
      </c>
    </row>
    <row r="27" spans="1:8">
      <c r="B27" t="s">
        <v>346</v>
      </c>
      <c r="C27" t="s">
        <v>351</v>
      </c>
      <c r="E27" t="s">
        <v>352</v>
      </c>
      <c r="G27" t="s">
        <v>349</v>
      </c>
      <c r="H27">
        <v>500000</v>
      </c>
    </row>
    <row r="28" spans="1:8">
      <c r="B28" t="s">
        <v>293</v>
      </c>
      <c r="C28" t="s">
        <v>353</v>
      </c>
      <c r="E28" t="s">
        <v>352</v>
      </c>
      <c r="G28" t="s">
        <v>350</v>
      </c>
      <c r="H28" s="21">
        <v>200000</v>
      </c>
    </row>
    <row r="29" spans="1:8">
      <c r="C29" t="s">
        <v>354</v>
      </c>
      <c r="E29" t="s">
        <v>355</v>
      </c>
      <c r="G29" t="s">
        <v>358</v>
      </c>
      <c r="H29" t="s">
        <v>352</v>
      </c>
    </row>
    <row r="30" spans="1:8">
      <c r="C30" t="s">
        <v>356</v>
      </c>
      <c r="E30" t="s">
        <v>355</v>
      </c>
    </row>
    <row r="31" spans="1:8">
      <c r="C31" t="s">
        <v>357</v>
      </c>
      <c r="E31" t="s">
        <v>352</v>
      </c>
    </row>
  </sheetData>
  <mergeCells count="1">
    <mergeCell ref="E24:G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C4:G46"/>
  <sheetViews>
    <sheetView topLeftCell="C31" workbookViewId="0">
      <selection activeCell="C43" sqref="C43"/>
    </sheetView>
  </sheetViews>
  <sheetFormatPr defaultRowHeight="15"/>
  <cols>
    <col min="3" max="4" width="60" bestFit="1" customWidth="1"/>
    <col min="5" max="5" width="24.7109375" customWidth="1"/>
    <col min="6" max="6" width="14.42578125" bestFit="1" customWidth="1"/>
  </cols>
  <sheetData>
    <row r="4" spans="3:6" ht="15.75" thickBot="1"/>
    <row r="5" spans="3:6" ht="15.75" thickBot="1">
      <c r="C5" s="32" t="s">
        <v>34</v>
      </c>
      <c r="D5" s="72"/>
      <c r="E5" s="72" t="s">
        <v>322</v>
      </c>
      <c r="F5" s="33"/>
    </row>
    <row r="6" spans="3:6">
      <c r="C6" t="s">
        <v>365</v>
      </c>
      <c r="D6" t="s">
        <v>360</v>
      </c>
      <c r="E6" t="s">
        <v>359</v>
      </c>
      <c r="F6" t="s">
        <v>360</v>
      </c>
    </row>
    <row r="7" spans="3:6">
      <c r="C7" t="s">
        <v>331</v>
      </c>
      <c r="D7" t="s">
        <v>362</v>
      </c>
      <c r="E7" t="s">
        <v>361</v>
      </c>
      <c r="F7" t="s">
        <v>362</v>
      </c>
    </row>
    <row r="8" spans="3:6">
      <c r="E8" t="s">
        <v>363</v>
      </c>
      <c r="F8" t="s">
        <v>364</v>
      </c>
    </row>
    <row r="10" spans="3:6">
      <c r="C10" s="16" t="s">
        <v>366</v>
      </c>
      <c r="D10" s="16"/>
      <c r="E10" s="16"/>
    </row>
    <row r="13" spans="3:6">
      <c r="C13" t="s">
        <v>367</v>
      </c>
    </row>
    <row r="14" spans="3:6">
      <c r="C14" t="s">
        <v>368</v>
      </c>
      <c r="D14" s="16" t="s">
        <v>366</v>
      </c>
    </row>
    <row r="15" spans="3:6">
      <c r="C15" t="s">
        <v>369</v>
      </c>
    </row>
    <row r="16" spans="3:6">
      <c r="D16" s="92" t="s">
        <v>370</v>
      </c>
      <c r="E16" s="92"/>
    </row>
    <row r="18" spans="3:4">
      <c r="D18" t="s">
        <v>371</v>
      </c>
    </row>
    <row r="19" spans="3:4">
      <c r="D19" t="s">
        <v>372</v>
      </c>
    </row>
    <row r="22" spans="3:4">
      <c r="C22" t="s">
        <v>368</v>
      </c>
      <c r="D22" t="s">
        <v>373</v>
      </c>
    </row>
    <row r="23" spans="3:4">
      <c r="D23" t="s">
        <v>374</v>
      </c>
    </row>
    <row r="24" spans="3:4">
      <c r="D24" t="s">
        <v>375</v>
      </c>
    </row>
    <row r="25" spans="3:4">
      <c r="D25" t="s">
        <v>376</v>
      </c>
    </row>
    <row r="26" spans="3:4">
      <c r="D26" t="s">
        <v>377</v>
      </c>
    </row>
    <row r="28" spans="3:4">
      <c r="C28" t="s">
        <v>378</v>
      </c>
    </row>
    <row r="30" spans="3:4">
      <c r="C30" s="73" t="s">
        <v>379</v>
      </c>
      <c r="D30" t="s">
        <v>380</v>
      </c>
    </row>
    <row r="31" spans="3:4">
      <c r="D31" t="s">
        <v>381</v>
      </c>
    </row>
    <row r="34" spans="3:7">
      <c r="C34" s="73" t="s">
        <v>382</v>
      </c>
      <c r="D34" t="s">
        <v>384</v>
      </c>
    </row>
    <row r="35" spans="3:7">
      <c r="D35" t="s">
        <v>383</v>
      </c>
    </row>
    <row r="40" spans="3:7">
      <c r="D40" t="s">
        <v>385</v>
      </c>
    </row>
    <row r="41" spans="3:7">
      <c r="D41" t="s">
        <v>388</v>
      </c>
    </row>
    <row r="42" spans="3:7">
      <c r="D42" t="s">
        <v>389</v>
      </c>
      <c r="F42">
        <f>250000*10%</f>
        <v>25000</v>
      </c>
      <c r="G42" t="s">
        <v>386</v>
      </c>
    </row>
    <row r="43" spans="3:7">
      <c r="F43">
        <f>25000/2</f>
        <v>12500</v>
      </c>
      <c r="G43" t="s">
        <v>387</v>
      </c>
    </row>
    <row r="44" spans="3:7">
      <c r="D44" t="s">
        <v>390</v>
      </c>
    </row>
    <row r="45" spans="3:7">
      <c r="D45" t="s">
        <v>391</v>
      </c>
    </row>
    <row r="46" spans="3:7">
      <c r="D46" t="s">
        <v>392</v>
      </c>
    </row>
  </sheetData>
  <mergeCells count="1">
    <mergeCell ref="D16:E1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H57"/>
  <sheetViews>
    <sheetView topLeftCell="A55" workbookViewId="0">
      <selection activeCell="C66" sqref="C66"/>
    </sheetView>
  </sheetViews>
  <sheetFormatPr defaultRowHeight="15"/>
  <cols>
    <col min="1" max="1" width="30.5703125" customWidth="1"/>
    <col min="3" max="3" width="27.28515625" customWidth="1"/>
  </cols>
  <sheetData>
    <row r="3" spans="2:5">
      <c r="C3" t="s">
        <v>397</v>
      </c>
    </row>
    <row r="4" spans="2:5">
      <c r="C4" t="s">
        <v>396</v>
      </c>
    </row>
    <row r="5" spans="2:5">
      <c r="C5" t="s">
        <v>393</v>
      </c>
      <c r="D5">
        <v>1932</v>
      </c>
    </row>
    <row r="6" spans="2:5">
      <c r="C6" t="s">
        <v>398</v>
      </c>
    </row>
    <row r="7" spans="2:5">
      <c r="C7" t="s">
        <v>394</v>
      </c>
    </row>
    <row r="8" spans="2:5">
      <c r="C8" t="s">
        <v>395</v>
      </c>
    </row>
    <row r="12" spans="2:5">
      <c r="B12" t="s">
        <v>70</v>
      </c>
      <c r="C12" t="s">
        <v>399</v>
      </c>
    </row>
    <row r="14" spans="2:5">
      <c r="C14" t="s">
        <v>400</v>
      </c>
      <c r="D14">
        <v>12000</v>
      </c>
    </row>
    <row r="15" spans="2:5">
      <c r="C15" t="s">
        <v>401</v>
      </c>
      <c r="E15">
        <v>5000</v>
      </c>
    </row>
    <row r="16" spans="2:5">
      <c r="C16" t="s">
        <v>402</v>
      </c>
      <c r="E16">
        <v>7000</v>
      </c>
    </row>
    <row r="18" spans="3:8">
      <c r="C18" t="s">
        <v>399</v>
      </c>
      <c r="H18" t="s">
        <v>403</v>
      </c>
    </row>
    <row r="20" spans="3:8">
      <c r="C20" t="s">
        <v>404</v>
      </c>
      <c r="D20">
        <v>10000</v>
      </c>
    </row>
    <row r="21" spans="3:8">
      <c r="C21" t="s">
        <v>400</v>
      </c>
      <c r="D21">
        <v>12000</v>
      </c>
    </row>
    <row r="22" spans="3:8">
      <c r="C22" t="s">
        <v>401</v>
      </c>
      <c r="E22">
        <v>5000</v>
      </c>
    </row>
    <row r="23" spans="3:8">
      <c r="C23" t="s">
        <v>402</v>
      </c>
      <c r="E23">
        <v>17000</v>
      </c>
    </row>
    <row r="27" spans="3:8">
      <c r="C27" s="85" t="s">
        <v>240</v>
      </c>
    </row>
    <row r="28" spans="3:8">
      <c r="C28" s="85" t="s">
        <v>405</v>
      </c>
    </row>
    <row r="29" spans="3:8">
      <c r="C29" s="85" t="s">
        <v>406</v>
      </c>
    </row>
    <row r="30" spans="3:8">
      <c r="C30" s="85" t="s">
        <v>407</v>
      </c>
    </row>
    <row r="31" spans="3:8">
      <c r="C31" s="85" t="s">
        <v>408</v>
      </c>
    </row>
    <row r="32" spans="3:8">
      <c r="C32" s="85" t="s">
        <v>409</v>
      </c>
    </row>
    <row r="34" spans="1:6" ht="13.5" customHeight="1">
      <c r="A34" t="s">
        <v>405</v>
      </c>
      <c r="B34" t="s">
        <v>515</v>
      </c>
      <c r="C34" s="85" t="s">
        <v>512</v>
      </c>
      <c r="D34">
        <v>2200</v>
      </c>
    </row>
    <row r="35" spans="1:6">
      <c r="C35" s="85" t="s">
        <v>513</v>
      </c>
      <c r="E35">
        <v>500</v>
      </c>
    </row>
    <row r="36" spans="1:6">
      <c r="C36" s="85" t="s">
        <v>514</v>
      </c>
      <c r="E36">
        <v>1700</v>
      </c>
    </row>
    <row r="38" spans="1:6">
      <c r="C38" s="85" t="s">
        <v>516</v>
      </c>
    </row>
    <row r="40" spans="1:6">
      <c r="A40" t="s">
        <v>439</v>
      </c>
      <c r="B40" t="s">
        <v>233</v>
      </c>
      <c r="C40" s="85" t="s">
        <v>444</v>
      </c>
      <c r="D40">
        <v>300</v>
      </c>
    </row>
    <row r="41" spans="1:6">
      <c r="C41" t="s">
        <v>517</v>
      </c>
      <c r="E41">
        <v>300</v>
      </c>
    </row>
    <row r="42" spans="1:6">
      <c r="A42">
        <v>3000</v>
      </c>
    </row>
    <row r="43" spans="1:6">
      <c r="A43" s="28">
        <v>0.1</v>
      </c>
    </row>
    <row r="46" spans="1:6">
      <c r="A46" t="s">
        <v>518</v>
      </c>
      <c r="B46">
        <v>4</v>
      </c>
      <c r="C46" t="s">
        <v>519</v>
      </c>
      <c r="E46">
        <v>12000</v>
      </c>
    </row>
    <row r="47" spans="1:6">
      <c r="C47" t="s">
        <v>520</v>
      </c>
      <c r="F47">
        <v>12000</v>
      </c>
    </row>
    <row r="50" spans="1:3">
      <c r="A50" t="s">
        <v>521</v>
      </c>
      <c r="B50">
        <v>5</v>
      </c>
      <c r="C50" t="s">
        <v>522</v>
      </c>
    </row>
    <row r="51" spans="1:3">
      <c r="C51" t="s">
        <v>523</v>
      </c>
    </row>
    <row r="52" spans="1:3">
      <c r="C52" t="s">
        <v>524</v>
      </c>
    </row>
    <row r="55" spans="1:3">
      <c r="B55" t="s">
        <v>457</v>
      </c>
      <c r="C55" t="s">
        <v>526</v>
      </c>
    </row>
    <row r="56" spans="1:3">
      <c r="C56" t="s">
        <v>444</v>
      </c>
    </row>
    <row r="57" spans="1:3">
      <c r="C57" t="s">
        <v>525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4:E46"/>
  <sheetViews>
    <sheetView workbookViewId="0">
      <selection activeCell="C8" sqref="C8"/>
    </sheetView>
  </sheetViews>
  <sheetFormatPr defaultRowHeight="15"/>
  <cols>
    <col min="2" max="2" width="46.85546875" bestFit="1" customWidth="1"/>
    <col min="3" max="3" width="48.28515625" bestFit="1" customWidth="1"/>
  </cols>
  <sheetData>
    <row r="4" spans="1:5">
      <c r="B4" t="s">
        <v>397</v>
      </c>
    </row>
    <row r="5" spans="1:5">
      <c r="B5" t="s">
        <v>396</v>
      </c>
    </row>
    <row r="6" spans="1:5">
      <c r="B6" t="s">
        <v>393</v>
      </c>
    </row>
    <row r="7" spans="1:5">
      <c r="B7" t="s">
        <v>398</v>
      </c>
    </row>
    <row r="8" spans="1:5">
      <c r="B8" t="s">
        <v>394</v>
      </c>
    </row>
    <row r="10" spans="1:5">
      <c r="B10" t="s">
        <v>426</v>
      </c>
    </row>
    <row r="11" spans="1:5">
      <c r="A11" t="s">
        <v>70</v>
      </c>
      <c r="B11" t="s">
        <v>427</v>
      </c>
    </row>
    <row r="12" spans="1:5">
      <c r="C12" t="s">
        <v>428</v>
      </c>
      <c r="D12">
        <v>18000</v>
      </c>
    </row>
    <row r="13" spans="1:5">
      <c r="C13" t="s">
        <v>429</v>
      </c>
      <c r="D13">
        <v>100000</v>
      </c>
    </row>
    <row r="14" spans="1:5">
      <c r="C14" t="s">
        <v>432</v>
      </c>
      <c r="D14">
        <v>50000</v>
      </c>
    </row>
    <row r="15" spans="1:5">
      <c r="C15" t="s">
        <v>430</v>
      </c>
      <c r="E15">
        <v>112000</v>
      </c>
    </row>
    <row r="16" spans="1:5">
      <c r="C16" t="s">
        <v>431</v>
      </c>
      <c r="E16">
        <v>56000</v>
      </c>
    </row>
    <row r="18" spans="1:5">
      <c r="C18" s="16" t="s">
        <v>433</v>
      </c>
    </row>
    <row r="20" spans="1:5">
      <c r="A20" t="s">
        <v>231</v>
      </c>
      <c r="B20" t="s">
        <v>434</v>
      </c>
      <c r="C20" t="s">
        <v>436</v>
      </c>
      <c r="D20">
        <v>16800</v>
      </c>
    </row>
    <row r="21" spans="1:5">
      <c r="B21" t="s">
        <v>438</v>
      </c>
      <c r="C21" t="s">
        <v>430</v>
      </c>
      <c r="E21">
        <f>E15*10%</f>
        <v>11200</v>
      </c>
    </row>
    <row r="22" spans="1:5">
      <c r="C22" t="s">
        <v>435</v>
      </c>
      <c r="E22">
        <f>E16*10%</f>
        <v>5600</v>
      </c>
    </row>
    <row r="25" spans="1:5">
      <c r="C25" s="16" t="s">
        <v>437</v>
      </c>
    </row>
    <row r="27" spans="1:5">
      <c r="A27" t="s">
        <v>233</v>
      </c>
      <c r="B27" t="s">
        <v>439</v>
      </c>
    </row>
    <row r="28" spans="1:5">
      <c r="B28" t="s">
        <v>64</v>
      </c>
      <c r="C28" t="s">
        <v>443</v>
      </c>
      <c r="D28">
        <v>1000</v>
      </c>
    </row>
    <row r="29" spans="1:5">
      <c r="C29" t="s">
        <v>444</v>
      </c>
      <c r="D29">
        <v>500</v>
      </c>
    </row>
    <row r="30" spans="1:5">
      <c r="B30" t="s">
        <v>440</v>
      </c>
      <c r="C30" t="s">
        <v>445</v>
      </c>
      <c r="E30">
        <v>1500</v>
      </c>
    </row>
    <row r="31" spans="1:5">
      <c r="B31" t="s">
        <v>441</v>
      </c>
    </row>
    <row r="32" spans="1:5">
      <c r="B32" t="s">
        <v>442</v>
      </c>
      <c r="C32" s="16" t="s">
        <v>439</v>
      </c>
    </row>
    <row r="35" spans="1:5">
      <c r="A35" t="s">
        <v>446</v>
      </c>
      <c r="B35" t="s">
        <v>447</v>
      </c>
      <c r="C35" t="s">
        <v>450</v>
      </c>
      <c r="D35">
        <v>100000</v>
      </c>
    </row>
    <row r="36" spans="1:5">
      <c r="B36" t="s">
        <v>448</v>
      </c>
      <c r="C36" t="s">
        <v>451</v>
      </c>
      <c r="E36">
        <v>50000</v>
      </c>
    </row>
    <row r="37" spans="1:5">
      <c r="B37" t="s">
        <v>449</v>
      </c>
      <c r="C37" t="s">
        <v>452</v>
      </c>
      <c r="E37">
        <v>50000</v>
      </c>
    </row>
    <row r="38" spans="1:5">
      <c r="B38" s="78"/>
    </row>
    <row r="39" spans="1:5">
      <c r="C39" s="16" t="s">
        <v>453</v>
      </c>
    </row>
    <row r="40" spans="1:5">
      <c r="A40" t="s">
        <v>237</v>
      </c>
      <c r="B40" t="s">
        <v>454</v>
      </c>
      <c r="C40" t="s">
        <v>455</v>
      </c>
      <c r="D40">
        <v>6000</v>
      </c>
    </row>
    <row r="41" spans="1:5">
      <c r="C41" t="s">
        <v>456</v>
      </c>
      <c r="E41">
        <v>6000</v>
      </c>
    </row>
    <row r="43" spans="1:5">
      <c r="A43" t="s">
        <v>457</v>
      </c>
      <c r="B43" t="s">
        <v>460</v>
      </c>
      <c r="C43" t="s">
        <v>443</v>
      </c>
    </row>
    <row r="44" spans="1:5">
      <c r="C44" t="s">
        <v>444</v>
      </c>
    </row>
    <row r="45" spans="1:5">
      <c r="C45" t="s">
        <v>458</v>
      </c>
    </row>
    <row r="46" spans="1:5">
      <c r="C46" t="s">
        <v>459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N109"/>
  <sheetViews>
    <sheetView topLeftCell="A22" workbookViewId="0">
      <selection activeCell="B42" sqref="B42"/>
    </sheetView>
  </sheetViews>
  <sheetFormatPr defaultRowHeight="15"/>
  <cols>
    <col min="2" max="2" width="28" bestFit="1" customWidth="1"/>
    <col min="9" max="9" width="9.5703125" bestFit="1" customWidth="1"/>
  </cols>
  <sheetData>
    <row r="2" spans="1:13">
      <c r="B2" s="1" t="s">
        <v>467</v>
      </c>
    </row>
    <row r="3" spans="1:13">
      <c r="B3" s="91" t="s">
        <v>461</v>
      </c>
      <c r="C3" s="91"/>
      <c r="D3" s="91"/>
    </row>
    <row r="4" spans="1:13">
      <c r="B4" s="91" t="s">
        <v>462</v>
      </c>
      <c r="C4" s="91"/>
      <c r="D4" s="91"/>
    </row>
    <row r="5" spans="1:13">
      <c r="B5" s="91" t="s">
        <v>463</v>
      </c>
      <c r="C5" s="91"/>
      <c r="D5" s="91"/>
    </row>
    <row r="6" spans="1:13" ht="15.75" thickBot="1"/>
    <row r="7" spans="1:13" ht="15.75" thickBot="1">
      <c r="A7" s="32" t="s">
        <v>1</v>
      </c>
      <c r="B7" s="72" t="s">
        <v>464</v>
      </c>
      <c r="C7" s="72" t="s">
        <v>3</v>
      </c>
      <c r="D7" s="72" t="s">
        <v>465</v>
      </c>
      <c r="E7" s="33" t="s">
        <v>466</v>
      </c>
      <c r="L7" s="122" t="s">
        <v>511</v>
      </c>
      <c r="M7" s="123"/>
    </row>
    <row r="8" spans="1:13">
      <c r="A8" s="82">
        <v>43864</v>
      </c>
      <c r="B8" s="34" t="s">
        <v>468</v>
      </c>
      <c r="C8" s="34"/>
      <c r="D8" s="34">
        <v>15000</v>
      </c>
      <c r="E8" s="35"/>
      <c r="J8" s="122" t="s">
        <v>509</v>
      </c>
      <c r="K8" s="127"/>
      <c r="L8" s="124"/>
      <c r="M8" s="120"/>
    </row>
    <row r="9" spans="1:13">
      <c r="A9" s="59"/>
      <c r="B9" s="29" t="s">
        <v>469</v>
      </c>
      <c r="C9" s="29"/>
      <c r="D9" s="29"/>
      <c r="E9" s="36">
        <v>15000</v>
      </c>
      <c r="I9" t="s">
        <v>51</v>
      </c>
      <c r="J9" s="124" t="s">
        <v>510</v>
      </c>
      <c r="K9" s="119"/>
      <c r="L9" s="124" t="s">
        <v>226</v>
      </c>
      <c r="M9" s="120"/>
    </row>
    <row r="10" spans="1:13" ht="15.75" thickBot="1">
      <c r="A10" s="59"/>
      <c r="B10" s="29"/>
      <c r="C10" s="29"/>
      <c r="D10" s="29"/>
      <c r="E10" s="36"/>
      <c r="I10" t="s">
        <v>66</v>
      </c>
      <c r="J10" s="125"/>
      <c r="K10" s="107"/>
      <c r="L10" s="125"/>
      <c r="M10" s="126"/>
    </row>
    <row r="11" spans="1:13">
      <c r="A11" s="59"/>
      <c r="B11" s="83" t="s">
        <v>470</v>
      </c>
      <c r="C11" s="29"/>
      <c r="D11" s="29"/>
      <c r="E11" s="36"/>
    </row>
    <row r="12" spans="1:13" ht="15.75" thickBot="1">
      <c r="A12" s="84">
        <v>43866</v>
      </c>
      <c r="B12" s="58" t="s">
        <v>471</v>
      </c>
      <c r="C12" s="29"/>
      <c r="D12" s="29">
        <v>6000</v>
      </c>
      <c r="E12" s="36"/>
    </row>
    <row r="13" spans="1:13" ht="15.75" thickBot="1">
      <c r="A13" s="59"/>
      <c r="B13" s="58" t="s">
        <v>472</v>
      </c>
      <c r="C13" s="29"/>
      <c r="D13" s="29"/>
      <c r="E13" s="36">
        <v>6000</v>
      </c>
      <c r="L13" s="122" t="s">
        <v>511</v>
      </c>
      <c r="M13" s="123"/>
    </row>
    <row r="14" spans="1:13">
      <c r="A14" s="59"/>
      <c r="B14" s="29"/>
      <c r="C14" s="29"/>
      <c r="D14" s="29"/>
      <c r="E14" s="36"/>
      <c r="I14" t="s">
        <v>64</v>
      </c>
      <c r="J14" s="122" t="s">
        <v>509</v>
      </c>
      <c r="K14" s="127"/>
      <c r="L14" s="124"/>
      <c r="M14" s="120"/>
    </row>
    <row r="15" spans="1:13">
      <c r="A15" s="59"/>
      <c r="B15" s="83" t="s">
        <v>473</v>
      </c>
      <c r="C15" s="29"/>
      <c r="D15" s="29"/>
      <c r="E15" s="36"/>
      <c r="I15" t="s">
        <v>56</v>
      </c>
      <c r="J15" s="124" t="s">
        <v>226</v>
      </c>
      <c r="K15" s="119"/>
      <c r="L15" s="124" t="s">
        <v>510</v>
      </c>
      <c r="M15" s="120"/>
    </row>
    <row r="16" spans="1:13" ht="15.75" thickBot="1">
      <c r="A16" s="84">
        <v>43868</v>
      </c>
      <c r="B16" s="58" t="s">
        <v>471</v>
      </c>
      <c r="C16" s="29"/>
      <c r="D16" s="29">
        <v>3000</v>
      </c>
      <c r="E16" s="36"/>
      <c r="I16" t="s">
        <v>240</v>
      </c>
      <c r="J16" s="125"/>
      <c r="K16" s="107"/>
      <c r="L16" s="125"/>
      <c r="M16" s="126"/>
    </row>
    <row r="17" spans="1:14">
      <c r="A17" s="59"/>
      <c r="B17" s="58" t="s">
        <v>474</v>
      </c>
      <c r="C17" s="29"/>
      <c r="D17" s="29"/>
      <c r="E17" s="29">
        <v>3000</v>
      </c>
    </row>
    <row r="18" spans="1:14">
      <c r="A18" s="59"/>
      <c r="B18" s="29"/>
      <c r="C18" s="29"/>
      <c r="D18" s="29"/>
      <c r="E18" s="36"/>
    </row>
    <row r="19" spans="1:14">
      <c r="A19" s="59"/>
      <c r="B19" s="83" t="s">
        <v>475</v>
      </c>
      <c r="C19" s="29"/>
      <c r="D19" s="29"/>
      <c r="E19" s="36"/>
    </row>
    <row r="20" spans="1:14">
      <c r="A20" s="59"/>
      <c r="B20" s="29"/>
      <c r="C20" s="29"/>
      <c r="D20" s="29"/>
      <c r="E20" s="36"/>
    </row>
    <row r="21" spans="1:14">
      <c r="A21" s="84">
        <v>43871</v>
      </c>
      <c r="B21" s="58" t="s">
        <v>476</v>
      </c>
      <c r="C21" s="29"/>
      <c r="D21" s="29">
        <v>2400</v>
      </c>
      <c r="E21" s="36"/>
      <c r="H21" t="s">
        <v>245</v>
      </c>
      <c r="I21" t="s">
        <v>249</v>
      </c>
      <c r="N21" t="s">
        <v>240</v>
      </c>
    </row>
    <row r="22" spans="1:14">
      <c r="A22" s="59"/>
      <c r="B22" s="58" t="s">
        <v>477</v>
      </c>
      <c r="C22" s="29"/>
      <c r="D22" s="29"/>
      <c r="E22" s="36">
        <v>2400</v>
      </c>
      <c r="H22">
        <v>12000</v>
      </c>
      <c r="I22">
        <v>-11000</v>
      </c>
      <c r="N22">
        <v>1000</v>
      </c>
    </row>
    <row r="23" spans="1:14">
      <c r="A23" s="59"/>
      <c r="B23" s="83" t="s">
        <v>478</v>
      </c>
      <c r="C23" s="29"/>
      <c r="D23" s="29"/>
      <c r="E23" s="36"/>
    </row>
    <row r="24" spans="1:14">
      <c r="A24" s="84">
        <v>43872</v>
      </c>
      <c r="B24" s="58" t="s">
        <v>479</v>
      </c>
      <c r="C24" s="29"/>
      <c r="D24" s="29">
        <v>3900</v>
      </c>
      <c r="E24" s="36"/>
    </row>
    <row r="25" spans="1:14">
      <c r="A25" s="59"/>
      <c r="B25" s="58" t="s">
        <v>480</v>
      </c>
      <c r="C25" s="29"/>
      <c r="D25" s="29"/>
      <c r="E25" s="36">
        <v>3900</v>
      </c>
      <c r="H25">
        <v>-10000</v>
      </c>
      <c r="I25">
        <v>10000</v>
      </c>
    </row>
    <row r="26" spans="1:14">
      <c r="A26" s="59"/>
      <c r="B26" s="83" t="s">
        <v>484</v>
      </c>
      <c r="C26" s="29"/>
      <c r="D26" s="29"/>
      <c r="E26" s="36"/>
    </row>
    <row r="27" spans="1:14">
      <c r="A27" s="84">
        <v>43876</v>
      </c>
      <c r="B27" s="58" t="s">
        <v>482</v>
      </c>
      <c r="C27" s="29"/>
      <c r="D27" s="29">
        <v>2250</v>
      </c>
      <c r="E27" s="36"/>
    </row>
    <row r="28" spans="1:14">
      <c r="A28" s="59"/>
      <c r="B28" s="58" t="s">
        <v>483</v>
      </c>
      <c r="C28" s="29"/>
      <c r="D28" s="29"/>
      <c r="E28" s="29">
        <v>2250</v>
      </c>
    </row>
    <row r="29" spans="1:14">
      <c r="A29" s="59"/>
      <c r="B29" s="83" t="s">
        <v>481</v>
      </c>
      <c r="C29" s="29"/>
      <c r="D29" s="29"/>
      <c r="E29" s="36"/>
    </row>
    <row r="30" spans="1:14">
      <c r="A30" s="84">
        <v>43881</v>
      </c>
      <c r="B30" s="58" t="s">
        <v>485</v>
      </c>
      <c r="C30" s="29"/>
      <c r="D30" s="29">
        <v>960</v>
      </c>
      <c r="E30" s="36"/>
    </row>
    <row r="31" spans="1:14">
      <c r="A31" s="59"/>
      <c r="B31" s="58" t="s">
        <v>486</v>
      </c>
      <c r="C31" s="29"/>
      <c r="D31" s="29"/>
      <c r="E31" s="36">
        <v>960</v>
      </c>
    </row>
    <row r="32" spans="1:14">
      <c r="A32" s="59"/>
      <c r="B32" s="83" t="s">
        <v>487</v>
      </c>
      <c r="C32" s="29"/>
      <c r="D32" s="29"/>
      <c r="E32" s="36"/>
    </row>
    <row r="33" spans="1:5">
      <c r="A33" s="84">
        <v>43886</v>
      </c>
      <c r="B33" s="58" t="s">
        <v>488</v>
      </c>
      <c r="C33" s="29"/>
      <c r="D33" s="29">
        <v>75</v>
      </c>
      <c r="E33" s="36"/>
    </row>
    <row r="34" spans="1:5">
      <c r="A34" s="59"/>
      <c r="B34" s="58" t="s">
        <v>489</v>
      </c>
      <c r="C34" s="29"/>
      <c r="D34" s="29"/>
      <c r="E34" s="36">
        <v>75</v>
      </c>
    </row>
    <row r="35" spans="1:5">
      <c r="A35" s="59"/>
      <c r="B35" s="83" t="s">
        <v>490</v>
      </c>
      <c r="C35" s="29"/>
      <c r="D35" s="29"/>
      <c r="E35" s="36"/>
    </row>
    <row r="36" spans="1:5">
      <c r="A36" s="84">
        <v>43887</v>
      </c>
      <c r="B36" s="58" t="s">
        <v>491</v>
      </c>
      <c r="C36" s="29"/>
      <c r="D36" s="29">
        <v>600</v>
      </c>
      <c r="E36" s="36"/>
    </row>
    <row r="37" spans="1:5">
      <c r="A37" s="59"/>
      <c r="B37" s="58" t="s">
        <v>492</v>
      </c>
      <c r="C37" s="29"/>
      <c r="D37" s="29"/>
      <c r="E37" s="36">
        <v>600</v>
      </c>
    </row>
    <row r="38" spans="1:5">
      <c r="A38" s="59"/>
      <c r="B38" s="83" t="s">
        <v>493</v>
      </c>
      <c r="C38" s="29"/>
      <c r="D38" s="29"/>
      <c r="E38" s="36"/>
    </row>
    <row r="39" spans="1:5">
      <c r="A39" s="84">
        <v>43888</v>
      </c>
      <c r="B39" s="58" t="s">
        <v>494</v>
      </c>
      <c r="C39" s="29"/>
      <c r="D39" s="29">
        <v>450</v>
      </c>
      <c r="E39" s="36"/>
    </row>
    <row r="40" spans="1:5">
      <c r="A40" s="59"/>
      <c r="B40" s="58" t="s">
        <v>496</v>
      </c>
      <c r="C40" s="29"/>
      <c r="D40" s="29"/>
      <c r="E40" s="36">
        <v>450</v>
      </c>
    </row>
    <row r="41" spans="1:5">
      <c r="A41" s="59"/>
      <c r="B41" s="83" t="s">
        <v>495</v>
      </c>
      <c r="C41" s="29"/>
      <c r="D41" s="29"/>
      <c r="E41" s="36"/>
    </row>
    <row r="42" spans="1:5">
      <c r="A42" s="84">
        <v>43889</v>
      </c>
      <c r="B42" s="58" t="s">
        <v>245</v>
      </c>
      <c r="C42" s="29"/>
      <c r="D42" s="29">
        <v>1500</v>
      </c>
      <c r="E42" s="36"/>
    </row>
    <row r="43" spans="1:5">
      <c r="A43" s="59"/>
      <c r="B43" s="58" t="s">
        <v>496</v>
      </c>
      <c r="C43" s="29"/>
      <c r="D43" s="29"/>
      <c r="E43" s="36">
        <v>1500</v>
      </c>
    </row>
    <row r="44" spans="1:5">
      <c r="A44" s="59"/>
      <c r="B44" s="83" t="s">
        <v>497</v>
      </c>
      <c r="C44" s="29"/>
      <c r="D44" s="29"/>
      <c r="E44" s="36"/>
    </row>
    <row r="45" spans="1:5">
      <c r="A45" s="84">
        <v>43889</v>
      </c>
      <c r="B45" s="58" t="s">
        <v>491</v>
      </c>
      <c r="C45" s="29"/>
      <c r="D45" s="29">
        <v>1800</v>
      </c>
      <c r="E45" s="36"/>
    </row>
    <row r="46" spans="1:5">
      <c r="A46" s="59"/>
      <c r="B46" s="58" t="s">
        <v>498</v>
      </c>
      <c r="C46" s="29"/>
      <c r="D46" s="29"/>
      <c r="E46" s="29">
        <v>1800</v>
      </c>
    </row>
    <row r="47" spans="1:5">
      <c r="A47" s="59"/>
      <c r="B47" s="83" t="s">
        <v>499</v>
      </c>
      <c r="C47" s="29"/>
      <c r="D47" s="29"/>
      <c r="E47" s="36"/>
    </row>
    <row r="48" spans="1:5">
      <c r="A48" s="84">
        <v>43889</v>
      </c>
      <c r="B48" s="58" t="s">
        <v>500</v>
      </c>
      <c r="C48" s="29"/>
      <c r="D48" s="29">
        <v>900</v>
      </c>
      <c r="E48" s="36"/>
    </row>
    <row r="49" spans="1:5">
      <c r="A49" s="59"/>
      <c r="B49" s="58" t="s">
        <v>502</v>
      </c>
      <c r="C49" s="29"/>
      <c r="D49" s="29"/>
      <c r="E49" s="29">
        <v>900</v>
      </c>
    </row>
    <row r="50" spans="1:5">
      <c r="A50" s="59"/>
      <c r="B50" s="83" t="s">
        <v>501</v>
      </c>
      <c r="C50" s="29"/>
      <c r="D50" s="29"/>
      <c r="E50" s="36"/>
    </row>
    <row r="51" spans="1:5">
      <c r="A51" s="84">
        <v>43889</v>
      </c>
      <c r="B51" s="58" t="s">
        <v>503</v>
      </c>
      <c r="C51" s="29"/>
      <c r="D51" s="29">
        <v>240</v>
      </c>
      <c r="E51" s="36"/>
    </row>
    <row r="52" spans="1:5">
      <c r="A52" s="59"/>
      <c r="B52" s="58" t="s">
        <v>504</v>
      </c>
      <c r="C52" s="29"/>
      <c r="D52" s="29"/>
      <c r="E52" s="36">
        <v>240</v>
      </c>
    </row>
    <row r="53" spans="1:5">
      <c r="A53" s="59"/>
      <c r="B53" s="83" t="s">
        <v>505</v>
      </c>
      <c r="C53" s="29"/>
      <c r="D53" s="29"/>
      <c r="E53" s="36"/>
    </row>
    <row r="54" spans="1:5">
      <c r="A54" s="84">
        <v>43889</v>
      </c>
      <c r="B54" s="58" t="s">
        <v>507</v>
      </c>
      <c r="C54" s="29"/>
      <c r="D54" s="29">
        <v>1500</v>
      </c>
      <c r="E54" s="36"/>
    </row>
    <row r="55" spans="1:5">
      <c r="A55" s="59"/>
      <c r="B55" s="58" t="s">
        <v>506</v>
      </c>
      <c r="C55" s="29"/>
      <c r="D55" s="29"/>
      <c r="E55" s="36">
        <v>1500</v>
      </c>
    </row>
    <row r="56" spans="1:5">
      <c r="A56" s="59"/>
      <c r="B56" s="29"/>
      <c r="C56" s="29"/>
      <c r="D56" s="29"/>
      <c r="E56" s="36"/>
    </row>
    <row r="57" spans="1:5">
      <c r="A57" s="59"/>
      <c r="B57" s="83" t="s">
        <v>508</v>
      </c>
      <c r="C57" s="29"/>
      <c r="D57" s="29"/>
      <c r="E57" s="36"/>
    </row>
    <row r="58" spans="1:5">
      <c r="A58" s="59"/>
      <c r="B58" s="29"/>
      <c r="C58" s="29"/>
      <c r="D58" s="29"/>
      <c r="E58" s="36"/>
    </row>
    <row r="59" spans="1:5">
      <c r="A59" s="59"/>
      <c r="B59" s="29"/>
      <c r="C59" s="29"/>
      <c r="D59" s="29"/>
      <c r="E59" s="36"/>
    </row>
    <row r="60" spans="1:5">
      <c r="A60" s="59"/>
      <c r="B60" s="29"/>
      <c r="C60" s="29"/>
      <c r="D60" s="29"/>
      <c r="E60" s="36"/>
    </row>
    <row r="61" spans="1:5">
      <c r="A61" s="59"/>
      <c r="B61" s="29"/>
      <c r="C61" s="29"/>
      <c r="D61" s="29"/>
      <c r="E61" s="36"/>
    </row>
    <row r="62" spans="1:5">
      <c r="A62" s="59"/>
      <c r="B62" s="29"/>
      <c r="C62" s="29"/>
      <c r="D62" s="29"/>
      <c r="E62" s="36"/>
    </row>
    <row r="63" spans="1:5">
      <c r="A63" s="59"/>
      <c r="B63" s="29"/>
      <c r="C63" s="29"/>
      <c r="D63" s="29"/>
      <c r="E63" s="36"/>
    </row>
    <row r="64" spans="1:5">
      <c r="A64" s="59"/>
      <c r="B64" s="29"/>
      <c r="C64" s="29"/>
      <c r="D64" s="29"/>
      <c r="E64" s="36"/>
    </row>
    <row r="65" spans="1:5">
      <c r="A65" s="59"/>
      <c r="B65" s="29"/>
      <c r="C65" s="29"/>
      <c r="D65" s="29"/>
      <c r="E65" s="36"/>
    </row>
    <row r="66" spans="1:5">
      <c r="A66" s="59"/>
      <c r="B66" s="29"/>
      <c r="C66" s="29"/>
      <c r="D66" s="29"/>
      <c r="E66" s="36"/>
    </row>
    <row r="67" spans="1:5">
      <c r="A67" s="59"/>
      <c r="B67" s="29"/>
      <c r="C67" s="29"/>
      <c r="D67" s="29"/>
      <c r="E67" s="36"/>
    </row>
    <row r="68" spans="1:5">
      <c r="A68" s="59"/>
      <c r="B68" s="29"/>
      <c r="C68" s="29"/>
      <c r="D68" s="29"/>
      <c r="E68" s="36"/>
    </row>
    <row r="69" spans="1:5">
      <c r="A69" s="59"/>
      <c r="B69" s="29"/>
      <c r="C69" s="29"/>
      <c r="D69" s="29"/>
      <c r="E69" s="36"/>
    </row>
    <row r="70" spans="1:5">
      <c r="A70" s="59"/>
      <c r="B70" s="29"/>
      <c r="C70" s="29"/>
      <c r="D70" s="29"/>
      <c r="E70" s="36"/>
    </row>
    <row r="71" spans="1:5">
      <c r="A71" s="59"/>
      <c r="B71" s="29"/>
      <c r="C71" s="29"/>
      <c r="D71" s="29"/>
      <c r="E71" s="36"/>
    </row>
    <row r="72" spans="1:5">
      <c r="A72" s="59"/>
      <c r="B72" s="29"/>
      <c r="C72" s="29"/>
      <c r="D72" s="29"/>
      <c r="E72" s="36"/>
    </row>
    <row r="73" spans="1:5">
      <c r="A73" s="59"/>
      <c r="B73" s="29"/>
      <c r="C73" s="29"/>
      <c r="D73" s="29"/>
      <c r="E73" s="36"/>
    </row>
    <row r="74" spans="1:5">
      <c r="A74" s="59"/>
      <c r="B74" s="29"/>
      <c r="C74" s="29"/>
      <c r="D74" s="29"/>
      <c r="E74" s="36"/>
    </row>
    <row r="75" spans="1:5">
      <c r="A75" s="59"/>
      <c r="B75" s="29"/>
      <c r="C75" s="29"/>
      <c r="D75" s="29"/>
      <c r="E75" s="36"/>
    </row>
    <row r="76" spans="1:5">
      <c r="A76" s="59"/>
      <c r="B76" s="29"/>
      <c r="C76" s="29"/>
      <c r="D76" s="29"/>
      <c r="E76" s="36"/>
    </row>
    <row r="77" spans="1:5">
      <c r="A77" s="59"/>
      <c r="B77" s="29"/>
      <c r="C77" s="29"/>
      <c r="D77" s="29"/>
      <c r="E77" s="36"/>
    </row>
    <row r="78" spans="1:5">
      <c r="A78" s="59"/>
      <c r="B78" s="29"/>
      <c r="C78" s="29"/>
      <c r="D78" s="29"/>
      <c r="E78" s="36"/>
    </row>
    <row r="79" spans="1:5">
      <c r="A79" s="59"/>
      <c r="B79" s="29"/>
      <c r="C79" s="29"/>
      <c r="D79" s="29"/>
      <c r="E79" s="36"/>
    </row>
    <row r="80" spans="1:5">
      <c r="A80" s="59"/>
      <c r="B80" s="29"/>
      <c r="C80" s="29"/>
      <c r="D80" s="29"/>
      <c r="E80" s="36"/>
    </row>
    <row r="81" spans="1:5">
      <c r="A81" s="59"/>
      <c r="B81" s="29"/>
      <c r="C81" s="29"/>
      <c r="D81" s="29"/>
      <c r="E81" s="36"/>
    </row>
    <row r="82" spans="1:5">
      <c r="A82" s="59"/>
      <c r="B82" s="29"/>
      <c r="C82" s="29"/>
      <c r="D82" s="29"/>
      <c r="E82" s="36"/>
    </row>
    <row r="83" spans="1:5">
      <c r="A83" s="59"/>
      <c r="B83" s="29"/>
      <c r="C83" s="29"/>
      <c r="D83" s="29"/>
      <c r="E83" s="36"/>
    </row>
    <row r="84" spans="1:5">
      <c r="A84" s="59"/>
      <c r="B84" s="29"/>
      <c r="C84" s="29"/>
      <c r="D84" s="29"/>
      <c r="E84" s="36"/>
    </row>
    <row r="85" spans="1:5">
      <c r="A85" s="59"/>
      <c r="B85" s="29"/>
      <c r="C85" s="29"/>
      <c r="D85" s="29"/>
      <c r="E85" s="36"/>
    </row>
    <row r="86" spans="1:5">
      <c r="A86" s="59"/>
      <c r="B86" s="29"/>
      <c r="C86" s="29"/>
      <c r="D86" s="29"/>
      <c r="E86" s="36"/>
    </row>
    <row r="87" spans="1:5">
      <c r="A87" s="59"/>
      <c r="B87" s="29"/>
      <c r="C87" s="29"/>
      <c r="D87" s="29"/>
      <c r="E87" s="36"/>
    </row>
    <row r="88" spans="1:5">
      <c r="A88" s="59"/>
      <c r="B88" s="29"/>
      <c r="C88" s="29"/>
      <c r="D88" s="29"/>
      <c r="E88" s="36"/>
    </row>
    <row r="89" spans="1:5">
      <c r="A89" s="59"/>
      <c r="B89" s="29"/>
      <c r="C89" s="29"/>
      <c r="D89" s="29"/>
      <c r="E89" s="36"/>
    </row>
    <row r="90" spans="1:5">
      <c r="A90" s="59"/>
      <c r="B90" s="29"/>
      <c r="C90" s="29"/>
      <c r="D90" s="29"/>
      <c r="E90" s="36"/>
    </row>
    <row r="91" spans="1:5">
      <c r="A91" s="59"/>
      <c r="B91" s="29"/>
      <c r="C91" s="29"/>
      <c r="D91" s="29"/>
      <c r="E91" s="36"/>
    </row>
    <row r="92" spans="1:5">
      <c r="A92" s="59"/>
      <c r="B92" s="29"/>
      <c r="C92" s="29"/>
      <c r="D92" s="29"/>
      <c r="E92" s="36"/>
    </row>
    <row r="93" spans="1:5">
      <c r="A93" s="59"/>
      <c r="B93" s="29"/>
      <c r="C93" s="29"/>
      <c r="D93" s="29"/>
      <c r="E93" s="36"/>
    </row>
    <row r="94" spans="1:5">
      <c r="A94" s="59"/>
      <c r="B94" s="29"/>
      <c r="C94" s="29"/>
      <c r="D94" s="29"/>
      <c r="E94" s="36"/>
    </row>
    <row r="95" spans="1:5">
      <c r="A95" s="59"/>
      <c r="B95" s="29"/>
      <c r="C95" s="29"/>
      <c r="D95" s="29"/>
      <c r="E95" s="36"/>
    </row>
    <row r="96" spans="1:5">
      <c r="A96" s="59"/>
      <c r="B96" s="29"/>
      <c r="C96" s="29"/>
      <c r="D96" s="29"/>
      <c r="E96" s="36"/>
    </row>
    <row r="97" spans="1:5">
      <c r="A97" s="59"/>
      <c r="B97" s="29"/>
      <c r="C97" s="29"/>
      <c r="D97" s="29"/>
      <c r="E97" s="36"/>
    </row>
    <row r="98" spans="1:5">
      <c r="A98" s="59"/>
      <c r="B98" s="29"/>
      <c r="C98" s="29"/>
      <c r="D98" s="29"/>
      <c r="E98" s="36"/>
    </row>
    <row r="99" spans="1:5">
      <c r="A99" s="59"/>
      <c r="B99" s="29"/>
      <c r="C99" s="29"/>
      <c r="D99" s="29"/>
      <c r="E99" s="36"/>
    </row>
    <row r="100" spans="1:5">
      <c r="A100" s="59"/>
      <c r="B100" s="29"/>
      <c r="C100" s="29"/>
      <c r="D100" s="29"/>
      <c r="E100" s="36"/>
    </row>
    <row r="101" spans="1:5">
      <c r="A101" s="59"/>
      <c r="B101" s="29"/>
      <c r="C101" s="29"/>
      <c r="D101" s="29"/>
      <c r="E101" s="36"/>
    </row>
    <row r="102" spans="1:5">
      <c r="A102" s="59"/>
      <c r="B102" s="29"/>
      <c r="C102" s="29"/>
      <c r="D102" s="29"/>
      <c r="E102" s="36"/>
    </row>
    <row r="103" spans="1:5">
      <c r="A103" s="59"/>
      <c r="B103" s="29"/>
      <c r="C103" s="29"/>
      <c r="D103" s="29"/>
      <c r="E103" s="36"/>
    </row>
    <row r="104" spans="1:5">
      <c r="A104" s="59"/>
      <c r="B104" s="29"/>
      <c r="C104" s="29"/>
      <c r="D104" s="29"/>
      <c r="E104" s="36"/>
    </row>
    <row r="105" spans="1:5">
      <c r="A105" s="59"/>
      <c r="B105" s="29"/>
      <c r="C105" s="29"/>
      <c r="D105" s="29"/>
      <c r="E105" s="36"/>
    </row>
    <row r="106" spans="1:5">
      <c r="A106" s="59"/>
      <c r="B106" s="29"/>
      <c r="C106" s="29"/>
      <c r="D106" s="29"/>
      <c r="E106" s="36"/>
    </row>
    <row r="107" spans="1:5">
      <c r="A107" s="59"/>
      <c r="B107" s="29"/>
      <c r="C107" s="29"/>
      <c r="D107" s="29"/>
      <c r="E107" s="36"/>
    </row>
    <row r="108" spans="1:5">
      <c r="A108" s="59"/>
      <c r="B108" s="29"/>
      <c r="C108" s="29"/>
      <c r="D108" s="29"/>
      <c r="E108" s="36"/>
    </row>
    <row r="109" spans="1:5" ht="15.75" thickBot="1">
      <c r="A109" s="79"/>
      <c r="B109" s="80"/>
      <c r="C109" s="80"/>
      <c r="D109" s="80"/>
      <c r="E109" s="81"/>
    </row>
  </sheetData>
  <mergeCells count="11">
    <mergeCell ref="B3:D3"/>
    <mergeCell ref="B4:D4"/>
    <mergeCell ref="B5:D5"/>
    <mergeCell ref="J8:K8"/>
    <mergeCell ref="J9:K10"/>
    <mergeCell ref="L7:M8"/>
    <mergeCell ref="L9:M10"/>
    <mergeCell ref="L13:M14"/>
    <mergeCell ref="J14:K14"/>
    <mergeCell ref="J15:K16"/>
    <mergeCell ref="L15:M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3:J99"/>
  <sheetViews>
    <sheetView topLeftCell="A7" workbookViewId="0">
      <selection activeCell="C22" sqref="C22"/>
    </sheetView>
  </sheetViews>
  <sheetFormatPr defaultRowHeight="15"/>
  <cols>
    <col min="2" max="2" width="32.7109375" bestFit="1" customWidth="1"/>
    <col min="6" max="6" width="27.140625" customWidth="1"/>
    <col min="8" max="8" width="15.85546875" bestFit="1" customWidth="1"/>
    <col min="9" max="9" width="31.5703125" bestFit="1" customWidth="1"/>
    <col min="10" max="10" width="30.28515625" customWidth="1"/>
  </cols>
  <sheetData>
    <row r="3" spans="1:5">
      <c r="B3" s="1" t="s">
        <v>527</v>
      </c>
    </row>
    <row r="4" spans="1:5">
      <c r="B4" s="91" t="s">
        <v>528</v>
      </c>
      <c r="C4" s="91"/>
      <c r="D4" s="91"/>
    </row>
    <row r="5" spans="1:5">
      <c r="B5" s="91" t="s">
        <v>462</v>
      </c>
      <c r="C5" s="91"/>
      <c r="D5" s="91"/>
    </row>
    <row r="6" spans="1:5">
      <c r="B6" s="91" t="s">
        <v>529</v>
      </c>
      <c r="C6" s="91"/>
      <c r="D6" s="91"/>
    </row>
    <row r="7" spans="1:5" ht="15.75" thickBot="1"/>
    <row r="8" spans="1:5" ht="15.75" thickBot="1">
      <c r="A8" s="32" t="s">
        <v>1</v>
      </c>
      <c r="B8" s="72" t="s">
        <v>464</v>
      </c>
      <c r="C8" s="72" t="s">
        <v>3</v>
      </c>
      <c r="D8" s="72" t="s">
        <v>465</v>
      </c>
      <c r="E8" s="33" t="s">
        <v>466</v>
      </c>
    </row>
    <row r="9" spans="1:5" ht="15.75" thickBot="1">
      <c r="A9" s="82">
        <v>44044</v>
      </c>
      <c r="B9" s="34" t="s">
        <v>488</v>
      </c>
      <c r="C9" s="34">
        <v>1</v>
      </c>
      <c r="D9" s="86">
        <v>296000</v>
      </c>
      <c r="E9" s="35"/>
    </row>
    <row r="10" spans="1:5">
      <c r="A10" s="59"/>
      <c r="B10" s="29" t="s">
        <v>530</v>
      </c>
      <c r="C10" s="29">
        <v>2</v>
      </c>
      <c r="D10" s="29"/>
      <c r="E10" s="86">
        <v>296000</v>
      </c>
    </row>
    <row r="11" spans="1:5">
      <c r="A11" s="59"/>
      <c r="B11" s="29"/>
      <c r="C11" s="29"/>
      <c r="D11" s="29"/>
      <c r="E11" s="36"/>
    </row>
    <row r="12" spans="1:5" ht="15.75" thickBot="1">
      <c r="A12" s="59"/>
      <c r="B12" s="83" t="s">
        <v>531</v>
      </c>
      <c r="C12" s="29"/>
      <c r="D12" s="29"/>
      <c r="E12" s="36"/>
    </row>
    <row r="13" spans="1:5">
      <c r="A13" s="82">
        <v>44044</v>
      </c>
      <c r="B13" s="58" t="s">
        <v>476</v>
      </c>
      <c r="C13" s="29"/>
      <c r="D13" s="29">
        <v>60000</v>
      </c>
      <c r="E13" s="36"/>
    </row>
    <row r="14" spans="1:5">
      <c r="A14" s="59"/>
      <c r="B14" s="58" t="s">
        <v>532</v>
      </c>
      <c r="C14" s="29">
        <v>1</v>
      </c>
      <c r="D14" s="29"/>
      <c r="E14" s="29">
        <v>60000</v>
      </c>
    </row>
    <row r="15" spans="1:5">
      <c r="A15" s="59"/>
      <c r="B15" s="83" t="s">
        <v>533</v>
      </c>
      <c r="C15" s="29"/>
      <c r="D15" s="29"/>
      <c r="E15" s="36"/>
    </row>
    <row r="16" spans="1:5">
      <c r="A16" s="84">
        <v>44046</v>
      </c>
      <c r="B16" s="87" t="s">
        <v>471</v>
      </c>
      <c r="C16" s="29"/>
      <c r="D16" s="29">
        <v>72000</v>
      </c>
      <c r="E16" s="36"/>
    </row>
    <row r="17" spans="1:10">
      <c r="A17" s="84"/>
      <c r="B17" s="87" t="s">
        <v>534</v>
      </c>
      <c r="C17" s="29">
        <v>1</v>
      </c>
      <c r="D17" s="29"/>
      <c r="E17" s="29">
        <v>72000</v>
      </c>
    </row>
    <row r="18" spans="1:10">
      <c r="A18" s="59"/>
      <c r="B18" s="83" t="s">
        <v>535</v>
      </c>
      <c r="C18" s="29"/>
      <c r="D18" s="29"/>
      <c r="E18" s="29"/>
      <c r="H18" s="88" t="s">
        <v>538</v>
      </c>
      <c r="I18" t="s">
        <v>540</v>
      </c>
      <c r="J18" t="s">
        <v>541</v>
      </c>
    </row>
    <row r="19" spans="1:10">
      <c r="A19" s="59"/>
      <c r="B19" s="29"/>
      <c r="C19" s="29"/>
      <c r="D19" s="29"/>
      <c r="E19" s="36"/>
      <c r="H19" t="s">
        <v>539</v>
      </c>
      <c r="I19" t="s">
        <v>540</v>
      </c>
      <c r="J19" t="s">
        <v>542</v>
      </c>
    </row>
    <row r="20" spans="1:10">
      <c r="A20" s="84">
        <v>44047</v>
      </c>
      <c r="B20" s="87" t="s">
        <v>471</v>
      </c>
      <c r="C20" s="29"/>
      <c r="D20" s="29">
        <v>15000</v>
      </c>
      <c r="E20" s="36"/>
    </row>
    <row r="21" spans="1:10">
      <c r="A21" s="59"/>
      <c r="B21" s="58" t="s">
        <v>537</v>
      </c>
      <c r="C21" s="29"/>
      <c r="D21" s="29"/>
      <c r="E21" s="29">
        <v>15000</v>
      </c>
    </row>
    <row r="22" spans="1:10">
      <c r="A22" s="84"/>
      <c r="B22" s="58"/>
      <c r="C22" s="29"/>
      <c r="D22" s="29"/>
      <c r="E22" s="36"/>
      <c r="H22" t="s">
        <v>549</v>
      </c>
      <c r="I22" t="s">
        <v>550</v>
      </c>
    </row>
    <row r="23" spans="1:10">
      <c r="A23" s="59"/>
      <c r="B23" s="83" t="s">
        <v>536</v>
      </c>
      <c r="C23" s="29"/>
      <c r="D23" s="29"/>
      <c r="E23" s="36"/>
      <c r="H23" t="s">
        <v>551</v>
      </c>
      <c r="I23" t="s">
        <v>552</v>
      </c>
    </row>
    <row r="24" spans="1:10">
      <c r="A24" s="84">
        <v>44052</v>
      </c>
      <c r="B24" s="87" t="s">
        <v>543</v>
      </c>
      <c r="C24" s="29"/>
      <c r="D24" s="29">
        <v>1000</v>
      </c>
      <c r="E24" s="36"/>
    </row>
    <row r="25" spans="1:10">
      <c r="A25" s="84"/>
      <c r="B25" s="58" t="s">
        <v>544</v>
      </c>
      <c r="C25" s="29"/>
      <c r="D25" s="29"/>
      <c r="E25" s="29">
        <v>1000</v>
      </c>
    </row>
    <row r="26" spans="1:10">
      <c r="A26" s="59"/>
      <c r="B26" s="58"/>
      <c r="C26" s="29"/>
      <c r="D26" s="29"/>
      <c r="E26" s="36"/>
    </row>
    <row r="27" spans="1:10">
      <c r="A27" s="59"/>
      <c r="B27" s="83" t="s">
        <v>545</v>
      </c>
      <c r="C27" s="29"/>
      <c r="D27" s="29"/>
      <c r="E27" s="36"/>
    </row>
    <row r="28" spans="1:10">
      <c r="A28" s="84">
        <v>44055</v>
      </c>
      <c r="B28" s="58" t="s">
        <v>488</v>
      </c>
      <c r="C28" s="29"/>
      <c r="D28" s="29">
        <v>19800</v>
      </c>
      <c r="E28" s="36"/>
    </row>
    <row r="29" spans="1:10">
      <c r="A29" s="59"/>
      <c r="B29" s="58" t="s">
        <v>546</v>
      </c>
      <c r="C29" s="29"/>
      <c r="D29" s="29"/>
      <c r="E29" s="29">
        <v>19800</v>
      </c>
    </row>
    <row r="30" spans="1:10">
      <c r="A30" s="59"/>
      <c r="B30" s="83" t="s">
        <v>547</v>
      </c>
      <c r="C30" s="29"/>
      <c r="D30" s="29"/>
      <c r="E30" s="36"/>
    </row>
    <row r="31" spans="1:10">
      <c r="A31" s="84">
        <v>44060</v>
      </c>
      <c r="B31" s="87" t="s">
        <v>543</v>
      </c>
      <c r="C31" s="29"/>
      <c r="D31" s="29">
        <v>14000</v>
      </c>
      <c r="E31" s="36"/>
    </row>
    <row r="32" spans="1:10">
      <c r="A32" s="59"/>
      <c r="B32" s="58" t="s">
        <v>548</v>
      </c>
      <c r="C32" s="29"/>
      <c r="D32" s="29"/>
      <c r="E32" s="36">
        <f>14000-280</f>
        <v>13720</v>
      </c>
      <c r="F32">
        <f>14000*2%</f>
        <v>280</v>
      </c>
    </row>
    <row r="33" spans="1:5">
      <c r="A33" s="59"/>
      <c r="B33" s="87" t="s">
        <v>553</v>
      </c>
      <c r="C33" s="29"/>
      <c r="D33" s="29"/>
      <c r="E33" s="36">
        <f>14000*2/100</f>
        <v>280</v>
      </c>
    </row>
    <row r="34" spans="1:5">
      <c r="A34" s="84"/>
      <c r="B34" s="58"/>
      <c r="C34" s="29"/>
      <c r="D34" s="29"/>
      <c r="E34" s="36"/>
    </row>
    <row r="35" spans="1:5">
      <c r="A35" s="59"/>
      <c r="B35" s="83" t="s">
        <v>554</v>
      </c>
      <c r="C35" s="29"/>
      <c r="D35" s="29"/>
      <c r="E35" s="36"/>
    </row>
    <row r="36" spans="1:5">
      <c r="A36" s="84">
        <v>44063</v>
      </c>
      <c r="B36" s="87" t="s">
        <v>555</v>
      </c>
      <c r="C36" s="29"/>
      <c r="D36" s="29">
        <v>5000</v>
      </c>
      <c r="E36" s="36"/>
    </row>
    <row r="37" spans="1:5">
      <c r="A37" s="84"/>
      <c r="B37" s="58" t="s">
        <v>556</v>
      </c>
      <c r="C37" s="29"/>
      <c r="D37" s="29"/>
      <c r="E37" s="29">
        <v>5000</v>
      </c>
    </row>
    <row r="38" spans="1:5">
      <c r="A38" s="59"/>
      <c r="B38" s="83" t="s">
        <v>557</v>
      </c>
      <c r="C38" s="29"/>
      <c r="D38" s="29"/>
      <c r="E38" s="36"/>
    </row>
    <row r="39" spans="1:5">
      <c r="A39" s="59"/>
      <c r="B39" s="83"/>
      <c r="C39" s="29"/>
      <c r="D39" s="29"/>
      <c r="E39" s="36"/>
    </row>
    <row r="40" spans="1:5">
      <c r="A40" s="84">
        <v>44065</v>
      </c>
      <c r="B40" s="87" t="s">
        <v>558</v>
      </c>
      <c r="C40" s="29"/>
      <c r="D40" s="29">
        <v>350</v>
      </c>
      <c r="E40" s="36"/>
    </row>
    <row r="41" spans="1:5">
      <c r="A41" s="59"/>
      <c r="B41" s="87" t="s">
        <v>559</v>
      </c>
      <c r="C41" s="29"/>
      <c r="D41" s="29"/>
      <c r="E41" s="29">
        <v>350</v>
      </c>
    </row>
    <row r="42" spans="1:5">
      <c r="A42" s="59"/>
      <c r="B42" s="83"/>
      <c r="C42" s="29"/>
      <c r="D42" s="29"/>
      <c r="E42" s="36"/>
    </row>
    <row r="43" spans="1:5">
      <c r="A43" s="84"/>
      <c r="B43" s="83" t="s">
        <v>560</v>
      </c>
      <c r="C43" s="29"/>
      <c r="D43" s="29"/>
      <c r="E43" s="36"/>
    </row>
    <row r="44" spans="1:5">
      <c r="A44" s="84">
        <v>44066</v>
      </c>
      <c r="B44" s="87" t="s">
        <v>561</v>
      </c>
      <c r="C44" s="29"/>
      <c r="D44" s="29">
        <v>250</v>
      </c>
      <c r="E44" s="36"/>
    </row>
    <row r="45" spans="1:5">
      <c r="A45" s="59"/>
      <c r="B45" s="87" t="s">
        <v>562</v>
      </c>
      <c r="C45" s="29"/>
      <c r="D45" s="29"/>
      <c r="E45" s="29">
        <v>250</v>
      </c>
    </row>
    <row r="46" spans="1:5">
      <c r="A46" s="84"/>
      <c r="B46" s="87"/>
      <c r="C46" s="29"/>
      <c r="D46" s="29"/>
      <c r="E46" s="36"/>
    </row>
    <row r="47" spans="1:5">
      <c r="A47" s="59"/>
      <c r="B47" s="83" t="s">
        <v>563</v>
      </c>
      <c r="C47" s="29"/>
      <c r="D47" s="29"/>
      <c r="E47" s="29"/>
    </row>
    <row r="48" spans="1:5">
      <c r="A48" s="59"/>
      <c r="B48" s="83"/>
      <c r="C48" s="29"/>
      <c r="D48" s="29"/>
      <c r="E48" s="36"/>
    </row>
    <row r="49" spans="1:8">
      <c r="A49" s="84">
        <v>44067</v>
      </c>
      <c r="B49" s="58" t="s">
        <v>406</v>
      </c>
      <c r="C49" s="29"/>
      <c r="D49" s="29">
        <v>600</v>
      </c>
      <c r="E49" s="36"/>
      <c r="F49" s="87" t="s">
        <v>406</v>
      </c>
      <c r="G49">
        <v>400</v>
      </c>
    </row>
    <row r="50" spans="1:8">
      <c r="A50" s="59"/>
      <c r="B50" s="87" t="s">
        <v>564</v>
      </c>
      <c r="C50" s="29"/>
      <c r="D50" s="29"/>
      <c r="E50" s="29">
        <v>400</v>
      </c>
      <c r="F50" s="87" t="s">
        <v>564</v>
      </c>
      <c r="H50">
        <v>400</v>
      </c>
    </row>
    <row r="51" spans="1:8">
      <c r="A51" s="59"/>
      <c r="B51" s="87" t="s">
        <v>565</v>
      </c>
      <c r="C51" s="29"/>
      <c r="D51" s="29"/>
      <c r="E51" s="36">
        <v>200</v>
      </c>
    </row>
    <row r="52" spans="1:8">
      <c r="A52" s="84"/>
      <c r="B52" s="58"/>
      <c r="C52" s="29"/>
      <c r="D52" s="29"/>
      <c r="E52" s="36"/>
      <c r="F52" s="87" t="s">
        <v>406</v>
      </c>
      <c r="G52">
        <v>200</v>
      </c>
    </row>
    <row r="53" spans="1:8">
      <c r="A53" s="59"/>
      <c r="B53" s="83" t="s">
        <v>566</v>
      </c>
      <c r="C53" s="29"/>
      <c r="D53" s="29"/>
      <c r="E53" s="36"/>
      <c r="F53" s="87" t="s">
        <v>565</v>
      </c>
      <c r="H53">
        <v>200</v>
      </c>
    </row>
    <row r="54" spans="1:8">
      <c r="A54" s="84">
        <v>44068</v>
      </c>
      <c r="B54" s="87" t="s">
        <v>245</v>
      </c>
      <c r="C54" s="29"/>
      <c r="D54" s="29">
        <f>4750-95</f>
        <v>4655</v>
      </c>
      <c r="E54" s="36"/>
    </row>
    <row r="55" spans="1:8">
      <c r="A55" s="84"/>
      <c r="B55" s="87" t="s">
        <v>567</v>
      </c>
      <c r="C55" s="29"/>
      <c r="D55" s="29">
        <f>4750*2/100</f>
        <v>95</v>
      </c>
      <c r="E55" s="36"/>
    </row>
    <row r="56" spans="1:8">
      <c r="A56" s="59"/>
      <c r="B56" s="87" t="s">
        <v>562</v>
      </c>
      <c r="C56" s="29"/>
      <c r="D56" s="29"/>
      <c r="E56" s="36">
        <v>4750</v>
      </c>
    </row>
    <row r="57" spans="1:8">
      <c r="A57" s="59"/>
      <c r="B57" s="29"/>
      <c r="C57" s="29"/>
      <c r="D57" s="29"/>
      <c r="E57" s="36"/>
    </row>
    <row r="58" spans="1:8">
      <c r="A58" s="59"/>
      <c r="B58" s="83" t="s">
        <v>568</v>
      </c>
      <c r="C58" s="29"/>
      <c r="D58" s="29"/>
      <c r="E58" s="36"/>
    </row>
    <row r="59" spans="1:8">
      <c r="A59" s="84">
        <v>44070</v>
      </c>
      <c r="B59" s="58" t="s">
        <v>245</v>
      </c>
      <c r="C59" s="29"/>
      <c r="D59" s="29">
        <v>3600</v>
      </c>
      <c r="E59" s="36"/>
    </row>
    <row r="60" spans="1:8">
      <c r="A60" s="59"/>
      <c r="B60" s="58" t="s">
        <v>569</v>
      </c>
      <c r="C60" s="29"/>
      <c r="D60" s="29"/>
      <c r="E60" s="29">
        <v>3600</v>
      </c>
    </row>
    <row r="61" spans="1:8">
      <c r="A61" s="59"/>
      <c r="B61" s="29"/>
      <c r="C61" s="29"/>
      <c r="D61" s="29"/>
      <c r="E61" s="36"/>
    </row>
    <row r="62" spans="1:8">
      <c r="A62" s="59"/>
      <c r="B62" s="83" t="s">
        <v>570</v>
      </c>
      <c r="C62" s="29"/>
      <c r="D62" s="29"/>
      <c r="E62" s="36"/>
    </row>
    <row r="63" spans="1:8">
      <c r="A63" s="59"/>
      <c r="B63" s="29"/>
      <c r="C63" s="29"/>
      <c r="D63" s="29"/>
      <c r="E63" s="36"/>
      <c r="F63" t="s">
        <v>571</v>
      </c>
    </row>
    <row r="64" spans="1:8">
      <c r="A64" s="84">
        <v>44073</v>
      </c>
      <c r="B64" s="58" t="s">
        <v>571</v>
      </c>
      <c r="C64" s="29"/>
      <c r="D64" s="29">
        <v>4000</v>
      </c>
      <c r="E64" s="36"/>
      <c r="F64" t="s">
        <v>578</v>
      </c>
    </row>
    <row r="65" spans="1:6">
      <c r="A65" s="59"/>
      <c r="B65" s="58" t="s">
        <v>572</v>
      </c>
      <c r="C65" s="29"/>
      <c r="D65" s="29">
        <v>2000</v>
      </c>
      <c r="E65" s="36"/>
    </row>
    <row r="66" spans="1:6">
      <c r="A66" s="59"/>
      <c r="B66" s="58" t="s">
        <v>573</v>
      </c>
      <c r="C66" s="29"/>
      <c r="D66" s="29">
        <v>220</v>
      </c>
      <c r="E66" s="36"/>
      <c r="F66" t="s">
        <v>579</v>
      </c>
    </row>
    <row r="67" spans="1:6">
      <c r="A67" s="59"/>
      <c r="B67" s="58" t="s">
        <v>574</v>
      </c>
      <c r="C67" s="29"/>
      <c r="D67" s="58">
        <v>280</v>
      </c>
      <c r="E67" s="36"/>
      <c r="F67" t="s">
        <v>580</v>
      </c>
    </row>
    <row r="68" spans="1:6">
      <c r="A68" s="59"/>
      <c r="B68" s="58" t="s">
        <v>575</v>
      </c>
      <c r="C68" s="29"/>
      <c r="D68" s="58">
        <v>660</v>
      </c>
      <c r="E68" s="36"/>
    </row>
    <row r="69" spans="1:6">
      <c r="A69" s="59"/>
      <c r="B69" s="58" t="s">
        <v>576</v>
      </c>
      <c r="C69" s="29"/>
      <c r="D69" s="29"/>
      <c r="E69" s="36">
        <v>7160</v>
      </c>
      <c r="F69" t="s">
        <v>581</v>
      </c>
    </row>
    <row r="70" spans="1:6">
      <c r="A70" s="59"/>
      <c r="B70" s="29"/>
      <c r="C70" s="29"/>
      <c r="D70" s="29"/>
      <c r="E70" s="36"/>
    </row>
    <row r="71" spans="1:6">
      <c r="A71" s="59"/>
      <c r="B71" s="58" t="s">
        <v>577</v>
      </c>
      <c r="C71" s="29"/>
      <c r="D71" s="29"/>
      <c r="E71" s="36"/>
    </row>
    <row r="72" spans="1:6">
      <c r="A72" s="59"/>
      <c r="B72" s="29"/>
      <c r="C72" s="29"/>
      <c r="D72" s="29"/>
      <c r="E72" s="36"/>
    </row>
    <row r="73" spans="1:6">
      <c r="A73" s="59"/>
      <c r="B73" s="29"/>
      <c r="C73" s="29"/>
      <c r="D73" s="29"/>
      <c r="E73" s="36"/>
    </row>
    <row r="74" spans="1:6">
      <c r="A74" s="59"/>
      <c r="B74" s="29"/>
      <c r="C74" s="29"/>
      <c r="D74" s="29"/>
      <c r="E74" s="36"/>
    </row>
    <row r="75" spans="1:6">
      <c r="A75" s="59"/>
      <c r="B75" s="29"/>
      <c r="C75" s="29"/>
      <c r="D75" s="29"/>
      <c r="E75" s="36"/>
    </row>
    <row r="76" spans="1:6">
      <c r="A76" s="59"/>
      <c r="B76" s="29"/>
      <c r="C76" s="29"/>
      <c r="D76" s="29"/>
      <c r="E76" s="36"/>
    </row>
    <row r="77" spans="1:6">
      <c r="A77" s="59"/>
      <c r="B77" s="29"/>
      <c r="C77" s="29"/>
      <c r="D77" s="29"/>
      <c r="E77" s="36"/>
    </row>
    <row r="78" spans="1:6">
      <c r="A78" s="59"/>
      <c r="B78" s="29"/>
      <c r="C78" s="29"/>
      <c r="D78" s="29"/>
      <c r="E78" s="36"/>
    </row>
    <row r="79" spans="1:6">
      <c r="A79" s="59"/>
      <c r="B79" s="29"/>
      <c r="C79" s="29"/>
      <c r="D79" s="29"/>
      <c r="E79" s="36"/>
    </row>
    <row r="80" spans="1:6">
      <c r="A80" s="59"/>
      <c r="B80" s="29"/>
      <c r="C80" s="29"/>
      <c r="D80" s="29"/>
      <c r="E80" s="36"/>
    </row>
    <row r="81" spans="1:5">
      <c r="A81" s="59"/>
      <c r="B81" s="29"/>
      <c r="C81" s="29"/>
      <c r="D81" s="29"/>
      <c r="E81" s="36"/>
    </row>
    <row r="82" spans="1:5">
      <c r="A82" s="59"/>
      <c r="B82" s="29"/>
      <c r="C82" s="29"/>
      <c r="D82" s="29"/>
      <c r="E82" s="36"/>
    </row>
    <row r="83" spans="1:5">
      <c r="A83" s="59"/>
      <c r="B83" s="29"/>
      <c r="C83" s="29"/>
      <c r="D83" s="29"/>
      <c r="E83" s="36"/>
    </row>
    <row r="84" spans="1:5">
      <c r="A84" s="59"/>
      <c r="B84" s="29"/>
      <c r="C84" s="29"/>
      <c r="D84" s="29"/>
      <c r="E84" s="36"/>
    </row>
    <row r="85" spans="1:5">
      <c r="A85" s="59"/>
      <c r="B85" s="29"/>
      <c r="C85" s="29"/>
      <c r="D85" s="29"/>
      <c r="E85" s="36"/>
    </row>
    <row r="86" spans="1:5">
      <c r="A86" s="59"/>
      <c r="B86" s="29"/>
      <c r="C86" s="29"/>
      <c r="D86" s="29"/>
      <c r="E86" s="36"/>
    </row>
    <row r="87" spans="1:5">
      <c r="A87" s="59"/>
      <c r="B87" s="29"/>
      <c r="C87" s="29"/>
      <c r="D87" s="29"/>
      <c r="E87" s="36"/>
    </row>
    <row r="88" spans="1:5">
      <c r="A88" s="59"/>
      <c r="B88" s="29"/>
      <c r="C88" s="29"/>
      <c r="D88" s="29"/>
      <c r="E88" s="36"/>
    </row>
    <row r="89" spans="1:5">
      <c r="A89" s="59"/>
      <c r="B89" s="29"/>
      <c r="C89" s="29"/>
      <c r="D89" s="29"/>
      <c r="E89" s="36"/>
    </row>
    <row r="90" spans="1:5">
      <c r="A90" s="59"/>
      <c r="B90" s="29"/>
      <c r="C90" s="29"/>
      <c r="D90" s="29"/>
      <c r="E90" s="36"/>
    </row>
    <row r="91" spans="1:5">
      <c r="A91" s="59"/>
      <c r="B91" s="29"/>
      <c r="C91" s="29"/>
      <c r="D91" s="29"/>
      <c r="E91" s="36"/>
    </row>
    <row r="92" spans="1:5">
      <c r="A92" s="59"/>
      <c r="B92" s="29"/>
      <c r="C92" s="29"/>
      <c r="D92" s="29"/>
      <c r="E92" s="36"/>
    </row>
    <row r="93" spans="1:5">
      <c r="A93" s="59"/>
      <c r="B93" s="29"/>
      <c r="C93" s="29"/>
      <c r="D93" s="29"/>
      <c r="E93" s="36"/>
    </row>
    <row r="94" spans="1:5">
      <c r="A94" s="59"/>
      <c r="B94" s="29"/>
      <c r="C94" s="29"/>
      <c r="D94" s="29"/>
      <c r="E94" s="36"/>
    </row>
    <row r="95" spans="1:5">
      <c r="A95" s="59"/>
      <c r="B95" s="29"/>
      <c r="C95" s="29"/>
      <c r="D95" s="29"/>
      <c r="E95" s="36"/>
    </row>
    <row r="96" spans="1:5">
      <c r="A96" s="59"/>
      <c r="B96" s="29"/>
      <c r="C96" s="29"/>
      <c r="D96" s="29"/>
      <c r="E96" s="36"/>
    </row>
    <row r="97" spans="1:5">
      <c r="A97" s="59"/>
      <c r="B97" s="29"/>
      <c r="C97" s="29"/>
      <c r="D97" s="29"/>
      <c r="E97" s="36"/>
    </row>
    <row r="98" spans="1:5">
      <c r="A98" s="59"/>
      <c r="B98" s="29"/>
      <c r="C98" s="29"/>
      <c r="D98" s="29"/>
      <c r="E98" s="36"/>
    </row>
    <row r="99" spans="1:5">
      <c r="A99" s="59"/>
      <c r="B99" s="29"/>
      <c r="C99" s="29"/>
      <c r="D99" s="29"/>
      <c r="E99" s="36"/>
    </row>
  </sheetData>
  <mergeCells count="3">
    <mergeCell ref="B4:D4"/>
    <mergeCell ref="B5:D5"/>
    <mergeCell ref="B6:D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1:L108"/>
  <sheetViews>
    <sheetView workbookViewId="0">
      <selection activeCell="B85" sqref="B85"/>
    </sheetView>
  </sheetViews>
  <sheetFormatPr defaultRowHeight="15"/>
  <cols>
    <col min="2" max="2" width="65" bestFit="1" customWidth="1"/>
    <col min="5" max="5" width="17.7109375" customWidth="1"/>
    <col min="6" max="6" width="2.85546875" customWidth="1"/>
    <col min="8" max="8" width="1.140625" customWidth="1"/>
    <col min="10" max="10" width="19.85546875" customWidth="1"/>
    <col min="11" max="11" width="3.7109375" customWidth="1"/>
  </cols>
  <sheetData>
    <row r="1" spans="2:12" ht="15.75" thickBot="1"/>
    <row r="2" spans="2:12" ht="15.75" thickBot="1">
      <c r="B2" t="s">
        <v>582</v>
      </c>
      <c r="D2">
        <v>1</v>
      </c>
      <c r="E2" s="104" t="s">
        <v>588</v>
      </c>
      <c r="F2" s="105"/>
      <c r="G2" s="105"/>
      <c r="H2" s="105"/>
      <c r="I2" s="105"/>
      <c r="J2" s="106"/>
    </row>
    <row r="3" spans="2:12">
      <c r="B3" t="s">
        <v>583</v>
      </c>
      <c r="E3" s="1" t="s">
        <v>586</v>
      </c>
      <c r="F3" s="1"/>
      <c r="G3" s="1"/>
      <c r="H3" s="1"/>
      <c r="I3" s="1"/>
      <c r="J3" s="1" t="s">
        <v>587</v>
      </c>
    </row>
    <row r="5" spans="2:12" ht="15.75" thickBot="1"/>
    <row r="6" spans="2:12" ht="15.75" thickBot="1">
      <c r="D6" s="32" t="s">
        <v>1</v>
      </c>
      <c r="E6" s="72" t="s">
        <v>348</v>
      </c>
      <c r="F6" s="72" t="s">
        <v>584</v>
      </c>
      <c r="G6" s="72" t="s">
        <v>585</v>
      </c>
      <c r="H6" s="72"/>
      <c r="I6" s="32" t="s">
        <v>1</v>
      </c>
      <c r="J6" s="72" t="s">
        <v>348</v>
      </c>
      <c r="K6" s="72" t="s">
        <v>584</v>
      </c>
      <c r="L6" s="33" t="s">
        <v>585</v>
      </c>
    </row>
    <row r="7" spans="2:12">
      <c r="D7" s="82">
        <v>44044</v>
      </c>
      <c r="E7" s="34" t="s">
        <v>240</v>
      </c>
      <c r="F7" s="34"/>
      <c r="G7" s="34">
        <v>296000</v>
      </c>
      <c r="H7" s="34"/>
      <c r="I7" s="82">
        <v>44044</v>
      </c>
      <c r="J7" s="58" t="s">
        <v>476</v>
      </c>
      <c r="K7" s="34"/>
      <c r="L7" s="35">
        <v>60000</v>
      </c>
    </row>
    <row r="8" spans="2:12">
      <c r="D8" s="84">
        <v>44055</v>
      </c>
      <c r="E8" s="58" t="s">
        <v>185</v>
      </c>
      <c r="F8" s="29"/>
      <c r="G8" s="29">
        <v>19800</v>
      </c>
      <c r="H8" s="29"/>
      <c r="I8" s="84">
        <v>44046</v>
      </c>
      <c r="J8" s="87" t="s">
        <v>471</v>
      </c>
      <c r="K8" s="29"/>
      <c r="L8" s="36">
        <v>72000</v>
      </c>
    </row>
    <row r="9" spans="2:12">
      <c r="D9" s="84">
        <v>44068</v>
      </c>
      <c r="E9" s="58" t="s">
        <v>589</v>
      </c>
      <c r="F9" s="29"/>
      <c r="G9" s="29">
        <f>4750-95</f>
        <v>4655</v>
      </c>
      <c r="H9" s="29"/>
      <c r="I9" s="89">
        <v>44060</v>
      </c>
      <c r="J9" s="87" t="s">
        <v>543</v>
      </c>
      <c r="K9" s="29"/>
      <c r="L9" s="36">
        <f>14000-280</f>
        <v>13720</v>
      </c>
    </row>
    <row r="10" spans="2:12">
      <c r="D10" s="84">
        <v>44070</v>
      </c>
      <c r="E10" s="58" t="s">
        <v>248</v>
      </c>
      <c r="F10" s="29"/>
      <c r="G10" s="29">
        <v>3600</v>
      </c>
      <c r="H10" s="29"/>
      <c r="I10" s="89">
        <v>44067</v>
      </c>
      <c r="J10" s="87" t="s">
        <v>406</v>
      </c>
      <c r="K10" s="29"/>
      <c r="L10" s="29">
        <v>400</v>
      </c>
    </row>
    <row r="11" spans="2:12">
      <c r="D11" s="59"/>
      <c r="E11" s="29"/>
      <c r="F11" s="29"/>
      <c r="G11" s="29"/>
      <c r="H11" s="29"/>
      <c r="I11" s="89">
        <v>44073</v>
      </c>
      <c r="J11" s="87" t="s">
        <v>590</v>
      </c>
      <c r="K11" s="29"/>
      <c r="L11" s="36">
        <v>7160</v>
      </c>
    </row>
    <row r="12" spans="2:12">
      <c r="D12" s="59"/>
      <c r="E12" s="29"/>
      <c r="F12" s="29"/>
      <c r="G12" s="29"/>
      <c r="H12" s="29"/>
      <c r="I12" s="29"/>
      <c r="J12" s="29"/>
      <c r="K12" s="29"/>
      <c r="L12" s="36"/>
    </row>
    <row r="13" spans="2:12">
      <c r="D13" s="59"/>
      <c r="E13" s="29"/>
      <c r="F13" s="29"/>
      <c r="G13" s="29"/>
      <c r="H13" s="29"/>
      <c r="I13" s="29"/>
      <c r="J13" s="58" t="s">
        <v>591</v>
      </c>
      <c r="K13" s="29"/>
      <c r="L13" s="36">
        <f>324055-153280</f>
        <v>170775</v>
      </c>
    </row>
    <row r="14" spans="2:12" ht="15.75" thickBot="1">
      <c r="D14" s="59"/>
      <c r="E14" s="29"/>
      <c r="F14" s="29"/>
      <c r="G14" s="29"/>
      <c r="H14" s="29"/>
      <c r="I14" s="29"/>
      <c r="J14" s="29"/>
      <c r="K14" s="29"/>
      <c r="L14" s="36"/>
    </row>
    <row r="15" spans="2:12" ht="15.75" thickBot="1">
      <c r="D15" s="59"/>
      <c r="E15" s="29"/>
      <c r="F15" s="29"/>
      <c r="G15" s="68">
        <f>SUM(G7:G10)</f>
        <v>324055</v>
      </c>
      <c r="H15" s="29"/>
      <c r="I15" s="29"/>
      <c r="J15" s="29"/>
      <c r="K15" s="29"/>
      <c r="L15" s="68">
        <v>324055</v>
      </c>
    </row>
    <row r="16" spans="2:12">
      <c r="D16" s="59"/>
      <c r="E16" s="29"/>
      <c r="F16" s="29"/>
      <c r="G16" s="29"/>
      <c r="H16" s="29"/>
      <c r="I16" s="29"/>
      <c r="J16" s="29"/>
      <c r="K16" s="29"/>
      <c r="L16" s="36"/>
    </row>
    <row r="17" spans="4:12">
      <c r="D17" s="59"/>
      <c r="E17" s="29" t="s">
        <v>592</v>
      </c>
      <c r="F17" s="29"/>
      <c r="G17" s="36">
        <f>324055-153280</f>
        <v>170775</v>
      </c>
      <c r="H17" s="29"/>
      <c r="I17" s="29"/>
      <c r="J17" s="29"/>
      <c r="K17" s="29"/>
      <c r="L17" s="36"/>
    </row>
    <row r="18" spans="4:12">
      <c r="D18" s="59"/>
      <c r="E18" s="29"/>
      <c r="F18" s="29"/>
      <c r="G18" s="29"/>
      <c r="H18" s="29"/>
      <c r="I18" s="29"/>
      <c r="J18" s="29"/>
      <c r="K18" s="29"/>
      <c r="L18" s="36"/>
    </row>
    <row r="19" spans="4:12">
      <c r="D19" s="59"/>
      <c r="E19" s="29"/>
      <c r="F19" s="29"/>
      <c r="G19" s="29"/>
      <c r="H19" s="29"/>
      <c r="I19" s="29"/>
      <c r="J19" s="29"/>
      <c r="K19" s="29"/>
      <c r="L19" s="36"/>
    </row>
    <row r="20" spans="4:12">
      <c r="D20" s="59"/>
      <c r="E20" s="29"/>
      <c r="F20" s="29"/>
      <c r="G20" s="29"/>
      <c r="H20" s="29"/>
      <c r="I20" s="29"/>
      <c r="J20" s="29"/>
      <c r="K20" s="29"/>
      <c r="L20" s="36"/>
    </row>
    <row r="21" spans="4:12">
      <c r="D21" s="59"/>
      <c r="E21" s="29"/>
      <c r="F21" s="29"/>
      <c r="G21" s="29"/>
      <c r="H21" s="29"/>
      <c r="I21" s="29"/>
      <c r="J21" s="29"/>
      <c r="K21" s="29"/>
      <c r="L21" s="36"/>
    </row>
    <row r="22" spans="4:12">
      <c r="D22" s="59"/>
      <c r="E22" s="29"/>
      <c r="F22" s="29"/>
      <c r="G22" s="29"/>
      <c r="H22" s="29"/>
      <c r="I22" s="29"/>
      <c r="J22" s="29"/>
      <c r="K22" s="29"/>
      <c r="L22" s="36"/>
    </row>
    <row r="23" spans="4:12">
      <c r="D23" s="59"/>
      <c r="E23" s="29"/>
      <c r="F23" s="29"/>
      <c r="G23" s="29"/>
      <c r="H23" s="29"/>
      <c r="I23" s="29"/>
      <c r="J23" s="29"/>
      <c r="K23" s="29"/>
      <c r="L23" s="36"/>
    </row>
    <row r="24" spans="4:12" ht="15.75" thickBot="1">
      <c r="D24" s="79"/>
      <c r="E24" s="80"/>
      <c r="F24" s="80"/>
      <c r="G24" s="80"/>
      <c r="H24" s="80"/>
      <c r="I24" s="80"/>
      <c r="J24" s="80"/>
      <c r="K24" s="80"/>
      <c r="L24" s="81"/>
    </row>
    <row r="30" spans="4:12" ht="15.75" thickBot="1"/>
    <row r="31" spans="4:12" ht="15.75" thickBot="1">
      <c r="D31">
        <v>2</v>
      </c>
      <c r="E31" s="104" t="s">
        <v>593</v>
      </c>
      <c r="F31" s="105"/>
      <c r="G31" s="105"/>
      <c r="H31" s="105"/>
      <c r="I31" s="105"/>
      <c r="J31" s="106"/>
    </row>
    <row r="32" spans="4:12">
      <c r="E32" s="1" t="s">
        <v>586</v>
      </c>
      <c r="F32" s="1"/>
      <c r="G32" s="1"/>
      <c r="H32" s="1"/>
      <c r="I32" s="1"/>
      <c r="J32" s="1" t="s">
        <v>587</v>
      </c>
    </row>
    <row r="34" spans="4:12" ht="15.75" thickBot="1"/>
    <row r="35" spans="4:12" ht="15.75" thickBot="1">
      <c r="D35" s="32" t="s">
        <v>1</v>
      </c>
      <c r="E35" s="72" t="s">
        <v>348</v>
      </c>
      <c r="F35" s="72" t="s">
        <v>584</v>
      </c>
      <c r="G35" s="72" t="s">
        <v>585</v>
      </c>
      <c r="H35" s="72"/>
      <c r="I35" s="32" t="s">
        <v>1</v>
      </c>
      <c r="J35" s="72" t="s">
        <v>348</v>
      </c>
      <c r="K35" s="72" t="s">
        <v>584</v>
      </c>
      <c r="L35" s="33" t="s">
        <v>585</v>
      </c>
    </row>
    <row r="36" spans="4:12">
      <c r="D36" s="82"/>
      <c r="E36" s="34"/>
      <c r="F36" s="34"/>
      <c r="G36" s="34"/>
      <c r="H36" s="34"/>
      <c r="I36" s="82">
        <v>44044</v>
      </c>
      <c r="J36" s="58" t="s">
        <v>488</v>
      </c>
      <c r="K36" s="34"/>
      <c r="L36" s="35">
        <v>296000</v>
      </c>
    </row>
    <row r="37" spans="4:12">
      <c r="D37" s="84"/>
      <c r="E37" s="58"/>
      <c r="F37" s="29"/>
      <c r="G37" s="29"/>
      <c r="H37" s="29"/>
      <c r="I37" s="84"/>
      <c r="J37" s="87"/>
      <c r="K37" s="29"/>
      <c r="L37" s="36"/>
    </row>
    <row r="38" spans="4:12">
      <c r="D38" s="84"/>
      <c r="E38" s="58"/>
      <c r="F38" s="29"/>
      <c r="G38" s="29"/>
      <c r="H38" s="29"/>
      <c r="I38" s="89"/>
      <c r="J38" s="87"/>
      <c r="K38" s="29"/>
      <c r="L38" s="36"/>
    </row>
    <row r="39" spans="4:12">
      <c r="D39" s="84"/>
      <c r="E39" s="58"/>
      <c r="F39" s="29"/>
      <c r="G39" s="29"/>
      <c r="H39" s="29"/>
      <c r="I39" s="89"/>
      <c r="J39" s="87"/>
      <c r="K39" s="29"/>
      <c r="L39" s="29"/>
    </row>
    <row r="40" spans="4:12">
      <c r="D40" s="59"/>
      <c r="E40" s="29"/>
      <c r="F40" s="29"/>
      <c r="G40" s="29"/>
      <c r="H40" s="29"/>
      <c r="I40" s="89"/>
      <c r="J40" s="87"/>
      <c r="K40" s="29"/>
      <c r="L40" s="36"/>
    </row>
    <row r="41" spans="4:12">
      <c r="D41" s="59"/>
      <c r="E41" s="29" t="s">
        <v>594</v>
      </c>
      <c r="F41" s="29"/>
      <c r="G41" s="29">
        <v>296000</v>
      </c>
      <c r="H41" s="29"/>
      <c r="I41" s="29"/>
      <c r="J41" s="29"/>
      <c r="K41" s="29"/>
      <c r="L41" s="36"/>
    </row>
    <row r="42" spans="4:12">
      <c r="D42" s="59"/>
      <c r="E42" s="29"/>
      <c r="F42" s="29"/>
      <c r="G42" s="29"/>
      <c r="H42" s="29"/>
      <c r="I42" s="29"/>
      <c r="J42" s="58"/>
      <c r="K42" s="29"/>
      <c r="L42" s="36"/>
    </row>
    <row r="43" spans="4:12" ht="15.75" thickBot="1">
      <c r="D43" s="59"/>
      <c r="E43" s="29"/>
      <c r="F43" s="29"/>
      <c r="G43" s="29"/>
      <c r="H43" s="29"/>
      <c r="I43" s="29"/>
      <c r="J43" s="29"/>
      <c r="K43" s="29"/>
      <c r="L43" s="36"/>
    </row>
    <row r="44" spans="4:12" ht="15.75" thickBot="1">
      <c r="D44" s="59"/>
      <c r="E44" s="29"/>
      <c r="F44" s="29"/>
      <c r="G44" s="68">
        <v>296000</v>
      </c>
      <c r="H44" s="29"/>
      <c r="I44" s="29"/>
      <c r="J44" s="29"/>
      <c r="K44" s="29"/>
      <c r="L44" s="68">
        <v>296000</v>
      </c>
    </row>
    <row r="45" spans="4:12">
      <c r="D45" s="59"/>
      <c r="E45" s="29"/>
      <c r="F45" s="29"/>
      <c r="G45" s="29"/>
      <c r="H45" s="29"/>
      <c r="I45" s="29"/>
      <c r="J45" s="29"/>
      <c r="K45" s="29"/>
      <c r="L45" s="36"/>
    </row>
    <row r="46" spans="4:12">
      <c r="D46" s="59"/>
      <c r="E46" s="29"/>
      <c r="F46" s="29"/>
      <c r="G46" s="36"/>
      <c r="H46" s="29"/>
      <c r="I46" s="29"/>
      <c r="J46" s="29" t="s">
        <v>592</v>
      </c>
      <c r="K46" s="29"/>
      <c r="L46" s="29">
        <v>296000</v>
      </c>
    </row>
    <row r="47" spans="4:12">
      <c r="D47" s="59"/>
      <c r="E47" s="29"/>
      <c r="F47" s="29"/>
      <c r="G47" s="29"/>
      <c r="H47" s="29"/>
      <c r="I47" s="29"/>
      <c r="J47" s="29"/>
      <c r="K47" s="29"/>
      <c r="L47" s="36"/>
    </row>
    <row r="48" spans="4:12">
      <c r="D48" s="59"/>
      <c r="E48" s="29"/>
      <c r="F48" s="29"/>
      <c r="G48" s="29"/>
      <c r="H48" s="29"/>
      <c r="I48" s="29"/>
      <c r="J48" s="29"/>
      <c r="K48" s="29"/>
      <c r="L48" s="36"/>
    </row>
    <row r="49" spans="4:12">
      <c r="D49" s="59"/>
      <c r="E49" s="29"/>
      <c r="F49" s="29"/>
      <c r="G49" s="29"/>
      <c r="H49" s="29"/>
      <c r="I49" s="29"/>
      <c r="J49" s="29"/>
      <c r="K49" s="29"/>
      <c r="L49" s="36"/>
    </row>
    <row r="50" spans="4:12">
      <c r="D50" s="59"/>
      <c r="E50" s="29"/>
      <c r="F50" s="29"/>
      <c r="G50" s="29"/>
      <c r="H50" s="29"/>
      <c r="I50" s="29"/>
      <c r="J50" s="29"/>
      <c r="K50" s="29"/>
      <c r="L50" s="36"/>
    </row>
    <row r="51" spans="4:12">
      <c r="D51" s="59"/>
      <c r="E51" s="29"/>
      <c r="F51" s="29"/>
      <c r="G51" s="29"/>
      <c r="H51" s="29"/>
      <c r="I51" s="29"/>
      <c r="J51" s="29"/>
      <c r="K51" s="29"/>
      <c r="L51" s="36"/>
    </row>
    <row r="52" spans="4:12">
      <c r="D52" s="59"/>
      <c r="E52" s="29"/>
      <c r="F52" s="29"/>
      <c r="G52" s="29"/>
      <c r="H52" s="29"/>
      <c r="I52" s="29"/>
      <c r="J52" s="29"/>
      <c r="K52" s="29"/>
      <c r="L52" s="36"/>
    </row>
    <row r="53" spans="4:12" ht="15.75" thickBot="1">
      <c r="D53" s="79"/>
      <c r="E53" s="80"/>
      <c r="F53" s="80"/>
      <c r="G53" s="80"/>
      <c r="H53" s="80"/>
      <c r="I53" s="80"/>
      <c r="J53" s="80"/>
      <c r="K53" s="80"/>
      <c r="L53" s="81"/>
    </row>
    <row r="57" spans="4:12" ht="15.75" thickBot="1"/>
    <row r="58" spans="4:12" ht="15.75" thickBot="1">
      <c r="D58">
        <v>3</v>
      </c>
      <c r="E58" s="104" t="s">
        <v>248</v>
      </c>
      <c r="F58" s="105"/>
      <c r="G58" s="105"/>
      <c r="H58" s="105"/>
      <c r="I58" s="105"/>
      <c r="J58" s="106"/>
    </row>
    <row r="59" spans="4:12">
      <c r="E59" s="1" t="s">
        <v>586</v>
      </c>
      <c r="F59" s="1"/>
      <c r="G59" s="1"/>
      <c r="H59" s="1"/>
      <c r="I59" s="1"/>
      <c r="J59" s="1" t="s">
        <v>587</v>
      </c>
    </row>
    <row r="61" spans="4:12" ht="15.75" thickBot="1"/>
    <row r="62" spans="4:12" ht="15.75" thickBot="1">
      <c r="D62" s="32" t="s">
        <v>1</v>
      </c>
      <c r="E62" s="72" t="s">
        <v>348</v>
      </c>
      <c r="F62" s="72" t="s">
        <v>584</v>
      </c>
      <c r="G62" s="72" t="s">
        <v>585</v>
      </c>
      <c r="H62" s="72"/>
      <c r="I62" s="32" t="s">
        <v>1</v>
      </c>
      <c r="J62" s="72" t="s">
        <v>348</v>
      </c>
      <c r="K62" s="72" t="s">
        <v>584</v>
      </c>
      <c r="L62" s="33" t="s">
        <v>585</v>
      </c>
    </row>
    <row r="63" spans="4:12">
      <c r="D63" s="82">
        <v>44044</v>
      </c>
      <c r="E63" s="34" t="s">
        <v>245</v>
      </c>
      <c r="F63" s="34"/>
      <c r="G63" s="34">
        <v>60000</v>
      </c>
      <c r="H63" s="34"/>
      <c r="I63" s="84">
        <v>44070</v>
      </c>
      <c r="J63" s="58" t="s">
        <v>245</v>
      </c>
      <c r="K63" s="34"/>
      <c r="L63" s="35">
        <v>3600</v>
      </c>
    </row>
    <row r="64" spans="4:12">
      <c r="D64" s="84"/>
      <c r="E64" s="58"/>
      <c r="F64" s="29"/>
      <c r="G64" s="29"/>
      <c r="H64" s="29"/>
      <c r="I64" s="84"/>
      <c r="J64" s="87"/>
      <c r="K64" s="29"/>
      <c r="L64" s="36"/>
    </row>
    <row r="65" spans="4:12">
      <c r="D65" s="84"/>
      <c r="E65" s="58"/>
      <c r="F65" s="29"/>
      <c r="G65" s="29"/>
      <c r="H65" s="29"/>
      <c r="I65" s="89"/>
      <c r="J65" s="87"/>
      <c r="K65" s="29"/>
      <c r="L65" s="36"/>
    </row>
    <row r="66" spans="4:12">
      <c r="D66" s="84"/>
      <c r="E66" s="58"/>
      <c r="F66" s="29"/>
      <c r="G66" s="29"/>
      <c r="H66" s="29"/>
      <c r="I66" s="89"/>
      <c r="J66" s="87"/>
      <c r="K66" s="29"/>
      <c r="L66" s="29"/>
    </row>
    <row r="67" spans="4:12">
      <c r="D67" s="59"/>
      <c r="E67" s="29"/>
      <c r="F67" s="29"/>
      <c r="G67" s="29"/>
      <c r="H67" s="29"/>
      <c r="I67" s="89"/>
      <c r="J67" s="58" t="s">
        <v>591</v>
      </c>
      <c r="K67" s="29"/>
      <c r="L67" s="36">
        <f>60000-3600</f>
        <v>56400</v>
      </c>
    </row>
    <row r="68" spans="4:12">
      <c r="D68" s="59"/>
      <c r="E68" s="29"/>
      <c r="F68" s="29"/>
      <c r="G68" s="29"/>
      <c r="H68" s="29"/>
      <c r="I68" s="29"/>
      <c r="J68" s="29"/>
      <c r="K68" s="29"/>
      <c r="L68" s="36"/>
    </row>
    <row r="69" spans="4:12">
      <c r="D69" s="59"/>
      <c r="E69" s="29"/>
      <c r="F69" s="29"/>
      <c r="G69" s="29"/>
      <c r="H69" s="29"/>
      <c r="I69" s="29"/>
      <c r="J69" s="58"/>
      <c r="K69" s="29"/>
      <c r="L69" s="36"/>
    </row>
    <row r="70" spans="4:12" ht="15.75" thickBot="1">
      <c r="D70" s="59"/>
      <c r="E70" s="29"/>
      <c r="F70" s="29"/>
      <c r="G70" s="29"/>
      <c r="H70" s="29"/>
      <c r="I70" s="29"/>
      <c r="J70" s="29"/>
      <c r="K70" s="29"/>
      <c r="L70" s="36"/>
    </row>
    <row r="71" spans="4:12" ht="15.75" thickBot="1">
      <c r="D71" s="59"/>
      <c r="E71" s="29"/>
      <c r="F71" s="29"/>
      <c r="G71" s="68">
        <v>60000</v>
      </c>
      <c r="H71" s="29"/>
      <c r="I71" s="29"/>
      <c r="J71" s="29"/>
      <c r="K71" s="29"/>
      <c r="L71" s="68">
        <v>60000</v>
      </c>
    </row>
    <row r="72" spans="4:12">
      <c r="D72" s="59"/>
      <c r="E72" s="29"/>
      <c r="F72" s="29"/>
      <c r="G72" s="29"/>
      <c r="H72" s="29"/>
      <c r="I72" s="29"/>
      <c r="J72" s="29"/>
      <c r="K72" s="29"/>
      <c r="L72" s="36"/>
    </row>
    <row r="73" spans="4:12">
      <c r="D73" s="59"/>
      <c r="E73" s="29" t="s">
        <v>592</v>
      </c>
      <c r="F73" s="29"/>
      <c r="G73" s="36">
        <v>56400</v>
      </c>
      <c r="H73" s="29"/>
      <c r="I73" s="29"/>
      <c r="J73" s="29"/>
      <c r="K73" s="29"/>
      <c r="L73" s="29"/>
    </row>
    <row r="74" spans="4:12">
      <c r="D74" s="59"/>
      <c r="E74" s="29"/>
      <c r="F74" s="29"/>
      <c r="G74" s="29"/>
      <c r="H74" s="29"/>
      <c r="I74" s="29"/>
      <c r="J74" s="29"/>
      <c r="K74" s="29"/>
      <c r="L74" s="36"/>
    </row>
    <row r="75" spans="4:12">
      <c r="D75" s="59"/>
      <c r="E75" s="29"/>
      <c r="F75" s="29"/>
      <c r="G75" s="29"/>
      <c r="H75" s="29"/>
      <c r="I75" s="29"/>
      <c r="J75" s="29"/>
      <c r="K75" s="29"/>
      <c r="L75" s="36"/>
    </row>
    <row r="76" spans="4:12">
      <c r="D76" s="59"/>
      <c r="E76" s="29"/>
      <c r="F76" s="29"/>
      <c r="G76" s="29"/>
      <c r="H76" s="29"/>
      <c r="I76" s="29"/>
      <c r="J76" s="29"/>
      <c r="K76" s="29"/>
      <c r="L76" s="36"/>
    </row>
    <row r="77" spans="4:12">
      <c r="D77" s="59"/>
      <c r="E77" s="29"/>
      <c r="F77" s="29"/>
      <c r="G77" s="29"/>
      <c r="H77" s="29"/>
      <c r="I77" s="29"/>
      <c r="J77" s="29"/>
      <c r="K77" s="29"/>
      <c r="L77" s="36"/>
    </row>
    <row r="78" spans="4:12">
      <c r="D78" s="59"/>
      <c r="E78" s="29"/>
      <c r="F78" s="29"/>
      <c r="G78" s="29"/>
      <c r="H78" s="29"/>
      <c r="I78" s="29"/>
      <c r="J78" s="29"/>
      <c r="K78" s="29"/>
      <c r="L78" s="36"/>
    </row>
    <row r="79" spans="4:12">
      <c r="D79" s="59"/>
      <c r="E79" s="29"/>
      <c r="F79" s="29"/>
      <c r="G79" s="29"/>
      <c r="H79" s="29"/>
      <c r="I79" s="29"/>
      <c r="J79" s="29"/>
      <c r="K79" s="29"/>
      <c r="L79" s="36"/>
    </row>
    <row r="80" spans="4:12" ht="15.75" thickBot="1">
      <c r="D80" s="79"/>
      <c r="E80" s="80"/>
      <c r="F80" s="80"/>
      <c r="G80" s="80"/>
      <c r="H80" s="80"/>
      <c r="I80" s="80"/>
      <c r="J80" s="80"/>
      <c r="K80" s="80"/>
      <c r="L80" s="81"/>
    </row>
    <row r="85" spans="4:12" ht="15.75" thickBot="1"/>
    <row r="86" spans="4:12" ht="15.75" thickBot="1">
      <c r="D86">
        <v>4</v>
      </c>
      <c r="E86" s="104" t="s">
        <v>142</v>
      </c>
      <c r="F86" s="105"/>
      <c r="G86" s="105"/>
      <c r="H86" s="105"/>
      <c r="I86" s="105"/>
      <c r="J86" s="106"/>
    </row>
    <row r="87" spans="4:12">
      <c r="E87" s="1" t="s">
        <v>586</v>
      </c>
      <c r="F87" s="1"/>
      <c r="G87" s="1"/>
      <c r="H87" s="1"/>
      <c r="I87" s="1"/>
      <c r="J87" s="1" t="s">
        <v>587</v>
      </c>
    </row>
    <row r="89" spans="4:12" ht="15.75" thickBot="1"/>
    <row r="90" spans="4:12" ht="15.75" thickBot="1">
      <c r="D90" s="32" t="s">
        <v>1</v>
      </c>
      <c r="E90" s="72" t="s">
        <v>348</v>
      </c>
      <c r="F90" s="72" t="s">
        <v>584</v>
      </c>
      <c r="G90" s="72" t="s">
        <v>585</v>
      </c>
      <c r="H90" s="72"/>
      <c r="I90" s="32" t="s">
        <v>1</v>
      </c>
      <c r="J90" s="72" t="s">
        <v>348</v>
      </c>
      <c r="K90" s="72" t="s">
        <v>584</v>
      </c>
      <c r="L90" s="33" t="s">
        <v>585</v>
      </c>
    </row>
    <row r="91" spans="4:12">
      <c r="D91" s="82">
        <v>44046</v>
      </c>
      <c r="E91" s="34" t="s">
        <v>245</v>
      </c>
      <c r="F91" s="34"/>
      <c r="G91" s="34">
        <v>72000</v>
      </c>
      <c r="H91" s="34"/>
      <c r="I91" s="84">
        <v>44065</v>
      </c>
      <c r="J91" s="87" t="s">
        <v>558</v>
      </c>
      <c r="K91" s="34"/>
      <c r="L91" s="35">
        <v>350</v>
      </c>
    </row>
    <row r="92" spans="4:12">
      <c r="D92" s="88">
        <v>44047</v>
      </c>
      <c r="E92" s="58" t="s">
        <v>543</v>
      </c>
      <c r="F92" s="29"/>
      <c r="G92" s="29">
        <v>15000</v>
      </c>
      <c r="H92" s="29"/>
      <c r="I92" s="84">
        <v>44067</v>
      </c>
      <c r="J92" s="87" t="s">
        <v>406</v>
      </c>
      <c r="K92" s="29"/>
      <c r="L92" s="36">
        <v>200</v>
      </c>
    </row>
    <row r="93" spans="4:12">
      <c r="D93" s="84"/>
      <c r="E93" s="58"/>
      <c r="F93" s="29"/>
      <c r="G93" s="29"/>
      <c r="H93" s="29"/>
      <c r="I93" s="89"/>
      <c r="J93" s="87"/>
      <c r="K93" s="29"/>
      <c r="L93" s="36"/>
    </row>
    <row r="94" spans="4:12">
      <c r="D94" s="84"/>
      <c r="E94" s="84"/>
      <c r="F94" s="29"/>
      <c r="G94" s="29"/>
      <c r="H94" s="29"/>
      <c r="I94" s="89"/>
      <c r="J94" s="87"/>
      <c r="K94" s="29"/>
      <c r="L94" s="29"/>
    </row>
    <row r="95" spans="4:12">
      <c r="D95" s="59"/>
      <c r="E95" s="29"/>
      <c r="F95" s="29"/>
      <c r="G95" s="29"/>
      <c r="H95" s="29"/>
      <c r="I95" s="89"/>
      <c r="J95" s="58" t="s">
        <v>591</v>
      </c>
      <c r="K95" s="29"/>
      <c r="L95" s="36">
        <f>87000-350-200</f>
        <v>86450</v>
      </c>
    </row>
    <row r="96" spans="4:12">
      <c r="D96" s="59"/>
      <c r="E96" s="29"/>
      <c r="F96" s="29"/>
      <c r="G96" s="29"/>
      <c r="H96" s="29"/>
      <c r="I96" s="29"/>
      <c r="J96" s="29"/>
      <c r="K96" s="29"/>
      <c r="L96" s="36"/>
    </row>
    <row r="97" spans="4:12">
      <c r="D97" s="59"/>
      <c r="E97" s="29"/>
      <c r="F97" s="29"/>
      <c r="G97" s="29"/>
      <c r="H97" s="29"/>
      <c r="I97" s="29"/>
      <c r="J97" s="58"/>
      <c r="K97" s="29"/>
      <c r="L97" s="36"/>
    </row>
    <row r="98" spans="4:12" ht="15.75" thickBot="1">
      <c r="D98" s="59"/>
      <c r="E98" s="29"/>
      <c r="F98" s="29"/>
      <c r="G98" s="29"/>
      <c r="H98" s="29"/>
      <c r="I98" s="29"/>
      <c r="J98" s="29"/>
      <c r="K98" s="29"/>
      <c r="L98" s="36"/>
    </row>
    <row r="99" spans="4:12" ht="15.75" thickBot="1">
      <c r="D99" s="59"/>
      <c r="E99" s="29"/>
      <c r="F99" s="29"/>
      <c r="G99" s="68">
        <v>87000</v>
      </c>
      <c r="H99" s="29"/>
      <c r="I99" s="29"/>
      <c r="J99" s="29"/>
      <c r="K99" s="29"/>
      <c r="L99" s="68">
        <v>87000</v>
      </c>
    </row>
    <row r="100" spans="4:12">
      <c r="D100" s="59"/>
      <c r="E100" s="29"/>
      <c r="F100" s="29"/>
      <c r="G100" s="29"/>
      <c r="H100" s="29"/>
      <c r="I100" s="29"/>
      <c r="J100" s="29"/>
      <c r="K100" s="29"/>
      <c r="L100" s="36"/>
    </row>
    <row r="101" spans="4:12">
      <c r="D101" s="59"/>
      <c r="E101" s="58" t="s">
        <v>592</v>
      </c>
      <c r="F101" s="29"/>
      <c r="G101" s="36">
        <f>87000-350-200</f>
        <v>86450</v>
      </c>
      <c r="H101" s="29"/>
      <c r="I101" s="29"/>
      <c r="J101" s="29"/>
      <c r="K101" s="29"/>
      <c r="L101" s="29"/>
    </row>
    <row r="102" spans="4:12">
      <c r="D102" s="59"/>
      <c r="E102" s="29"/>
      <c r="F102" s="29"/>
      <c r="G102" s="29"/>
      <c r="H102" s="29"/>
      <c r="I102" s="29"/>
      <c r="J102" s="29"/>
      <c r="K102" s="29"/>
      <c r="L102" s="36"/>
    </row>
    <row r="103" spans="4:12">
      <c r="D103" s="59"/>
      <c r="E103" s="29"/>
      <c r="F103" s="29"/>
      <c r="G103" s="29"/>
      <c r="H103" s="29"/>
      <c r="I103" s="29"/>
      <c r="J103" s="29"/>
      <c r="K103" s="29"/>
      <c r="L103" s="36"/>
    </row>
    <row r="104" spans="4:12">
      <c r="D104" s="59"/>
      <c r="E104" s="29"/>
      <c r="F104" s="29"/>
      <c r="G104" s="29"/>
      <c r="H104" s="29"/>
      <c r="I104" s="29"/>
      <c r="J104" s="29"/>
      <c r="K104" s="29"/>
      <c r="L104" s="36"/>
    </row>
    <row r="105" spans="4:12">
      <c r="D105" s="59"/>
      <c r="E105" s="29"/>
      <c r="F105" s="29"/>
      <c r="G105" s="29"/>
      <c r="H105" s="29"/>
      <c r="I105" s="29"/>
      <c r="J105" s="29"/>
      <c r="K105" s="29"/>
      <c r="L105" s="36"/>
    </row>
    <row r="106" spans="4:12">
      <c r="D106" s="59"/>
      <c r="E106" s="29"/>
      <c r="F106" s="29"/>
      <c r="G106" s="29"/>
      <c r="H106" s="29"/>
      <c r="I106" s="29"/>
      <c r="J106" s="29"/>
      <c r="K106" s="29"/>
      <c r="L106" s="36"/>
    </row>
    <row r="107" spans="4:12">
      <c r="D107" s="59"/>
      <c r="E107" s="29"/>
      <c r="F107" s="29"/>
      <c r="G107" s="29"/>
      <c r="H107" s="29"/>
      <c r="I107" s="29"/>
      <c r="J107" s="29"/>
      <c r="K107" s="29"/>
      <c r="L107" s="36"/>
    </row>
    <row r="108" spans="4:12" ht="15.75" thickBot="1">
      <c r="D108" s="79"/>
      <c r="E108" s="80"/>
      <c r="F108" s="80"/>
      <c r="G108" s="80"/>
      <c r="H108" s="80"/>
      <c r="I108" s="80"/>
      <c r="J108" s="80"/>
      <c r="K108" s="80"/>
      <c r="L108" s="81"/>
    </row>
  </sheetData>
  <mergeCells count="4">
    <mergeCell ref="E2:J2"/>
    <mergeCell ref="E31:J31"/>
    <mergeCell ref="E58:J58"/>
    <mergeCell ref="E86:J8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C4:P39"/>
  <sheetViews>
    <sheetView tabSelected="1" topLeftCell="A4" workbookViewId="0">
      <selection activeCell="L21" sqref="L21"/>
    </sheetView>
  </sheetViews>
  <sheetFormatPr defaultRowHeight="15"/>
  <cols>
    <col min="4" max="4" width="26.140625" customWidth="1"/>
    <col min="5" max="5" width="7.42578125" customWidth="1"/>
    <col min="12" max="12" width="20.140625" bestFit="1" customWidth="1"/>
  </cols>
  <sheetData>
    <row r="4" spans="3:16">
      <c r="D4" s="91" t="s">
        <v>595</v>
      </c>
      <c r="E4" s="91"/>
      <c r="F4" s="91"/>
    </row>
    <row r="5" spans="3:16">
      <c r="D5" s="91" t="s">
        <v>596</v>
      </c>
      <c r="E5" s="91"/>
      <c r="F5" s="91"/>
      <c r="G5" s="91"/>
    </row>
    <row r="6" spans="3:16" ht="15.75" thickBot="1">
      <c r="D6" s="92" t="s">
        <v>597</v>
      </c>
      <c r="E6" s="92"/>
      <c r="F6" s="92"/>
    </row>
    <row r="7" spans="3:16" ht="15.75" thickBot="1">
      <c r="C7" s="32" t="s">
        <v>598</v>
      </c>
      <c r="D7" s="72" t="s">
        <v>599</v>
      </c>
      <c r="E7" s="72" t="s">
        <v>600</v>
      </c>
      <c r="F7" s="72" t="s">
        <v>601</v>
      </c>
      <c r="G7" s="33" t="s">
        <v>602</v>
      </c>
    </row>
    <row r="8" spans="3:16">
      <c r="C8" s="128">
        <v>1</v>
      </c>
      <c r="D8" s="34" t="s">
        <v>245</v>
      </c>
      <c r="E8" s="34">
        <v>1</v>
      </c>
      <c r="F8" s="130">
        <v>51800</v>
      </c>
      <c r="G8" s="35"/>
    </row>
    <row r="9" spans="3:16">
      <c r="C9" s="59">
        <v>2</v>
      </c>
      <c r="D9" s="29" t="s">
        <v>248</v>
      </c>
      <c r="E9" s="29"/>
      <c r="F9" s="29">
        <v>40000</v>
      </c>
      <c r="G9" s="36"/>
    </row>
    <row r="10" spans="3:16">
      <c r="C10" s="59">
        <v>3</v>
      </c>
      <c r="D10" s="29" t="s">
        <v>246</v>
      </c>
      <c r="E10" s="29"/>
      <c r="F10" s="29">
        <v>200000</v>
      </c>
      <c r="G10" s="36"/>
    </row>
    <row r="11" spans="3:16">
      <c r="C11" s="59">
        <v>4</v>
      </c>
      <c r="D11" s="58" t="s">
        <v>240</v>
      </c>
      <c r="E11" s="29">
        <v>2</v>
      </c>
      <c r="F11" s="29"/>
      <c r="G11" s="129">
        <v>370000</v>
      </c>
    </row>
    <row r="12" spans="3:16">
      <c r="C12" s="59">
        <v>5</v>
      </c>
      <c r="D12" s="58" t="s">
        <v>603</v>
      </c>
      <c r="E12" s="29"/>
      <c r="F12" s="58">
        <v>126000</v>
      </c>
      <c r="G12" s="36"/>
    </row>
    <row r="13" spans="3:16">
      <c r="C13" s="59">
        <v>6</v>
      </c>
      <c r="D13" s="58" t="s">
        <v>604</v>
      </c>
      <c r="E13" s="29"/>
      <c r="F13" s="29"/>
      <c r="G13" s="36">
        <v>14000</v>
      </c>
    </row>
    <row r="14" spans="3:16">
      <c r="C14" s="59">
        <v>7</v>
      </c>
      <c r="D14" s="58" t="s">
        <v>185</v>
      </c>
      <c r="E14" s="29"/>
      <c r="F14" s="29"/>
      <c r="G14" s="36">
        <v>110000</v>
      </c>
      <c r="L14" t="s">
        <v>615</v>
      </c>
      <c r="M14">
        <v>150</v>
      </c>
      <c r="N14">
        <v>30</v>
      </c>
      <c r="O14">
        <v>1</v>
      </c>
      <c r="P14">
        <v>30</v>
      </c>
    </row>
    <row r="15" spans="3:16">
      <c r="C15" s="59">
        <v>8</v>
      </c>
      <c r="D15" s="58" t="s">
        <v>605</v>
      </c>
      <c r="E15" s="29"/>
      <c r="F15" s="29" t="s">
        <v>606</v>
      </c>
      <c r="G15" s="36" t="s">
        <v>606</v>
      </c>
      <c r="L15" t="s">
        <v>616</v>
      </c>
      <c r="M15" t="s">
        <v>617</v>
      </c>
    </row>
    <row r="16" spans="3:16">
      <c r="C16" s="59">
        <v>9</v>
      </c>
      <c r="D16" s="58" t="s">
        <v>607</v>
      </c>
      <c r="E16" s="29">
        <v>5</v>
      </c>
      <c r="F16" s="29">
        <v>24000</v>
      </c>
      <c r="G16" s="36"/>
      <c r="L16" t="s">
        <v>618</v>
      </c>
    </row>
    <row r="17" spans="3:13">
      <c r="C17" s="59">
        <v>10</v>
      </c>
      <c r="D17" s="58" t="s">
        <v>608</v>
      </c>
      <c r="E17" s="29"/>
      <c r="F17" s="29" t="s">
        <v>606</v>
      </c>
      <c r="G17" s="36" t="s">
        <v>606</v>
      </c>
      <c r="L17" t="s">
        <v>619</v>
      </c>
      <c r="M17" s="28">
        <v>0.6</v>
      </c>
    </row>
    <row r="18" spans="3:13">
      <c r="C18" s="59">
        <v>11</v>
      </c>
      <c r="D18" s="58" t="s">
        <v>609</v>
      </c>
      <c r="E18" s="29"/>
      <c r="F18" s="46">
        <v>38400</v>
      </c>
      <c r="G18" s="36"/>
    </row>
    <row r="19" spans="3:13">
      <c r="C19" s="59">
        <v>12</v>
      </c>
      <c r="D19" s="58" t="s">
        <v>610</v>
      </c>
      <c r="E19" s="29"/>
      <c r="F19" s="29"/>
      <c r="G19" s="36">
        <v>400</v>
      </c>
    </row>
    <row r="20" spans="3:13">
      <c r="C20" s="59">
        <v>13</v>
      </c>
      <c r="D20" s="58" t="s">
        <v>611</v>
      </c>
      <c r="E20" s="29"/>
      <c r="F20" s="29">
        <v>200</v>
      </c>
      <c r="G20" s="36"/>
    </row>
    <row r="21" spans="3:13">
      <c r="C21" s="59">
        <v>14</v>
      </c>
      <c r="D21" s="58" t="s">
        <v>406</v>
      </c>
      <c r="E21" s="29"/>
      <c r="F21" s="58">
        <v>6000</v>
      </c>
      <c r="G21" s="36"/>
    </row>
    <row r="22" spans="3:13">
      <c r="C22" s="59">
        <v>15</v>
      </c>
      <c r="D22" s="58" t="s">
        <v>612</v>
      </c>
      <c r="E22" s="29"/>
      <c r="F22" s="58">
        <v>2000</v>
      </c>
      <c r="G22" s="36"/>
    </row>
    <row r="23" spans="3:13">
      <c r="C23" s="59">
        <v>16</v>
      </c>
      <c r="D23" s="58" t="s">
        <v>613</v>
      </c>
      <c r="E23" s="29"/>
      <c r="F23" s="58">
        <v>4000</v>
      </c>
      <c r="G23" s="36"/>
    </row>
    <row r="24" spans="3:13">
      <c r="C24" s="59">
        <v>17</v>
      </c>
      <c r="D24" s="58" t="s">
        <v>614</v>
      </c>
      <c r="E24" s="29"/>
      <c r="F24" s="58">
        <v>2000</v>
      </c>
      <c r="G24" s="36"/>
    </row>
    <row r="25" spans="3:13">
      <c r="C25" s="59"/>
      <c r="D25" s="29"/>
      <c r="E25" s="29"/>
      <c r="F25" s="29"/>
      <c r="G25" s="36"/>
    </row>
    <row r="26" spans="3:13" ht="15.75" thickBot="1">
      <c r="C26" s="59"/>
      <c r="D26" s="29"/>
      <c r="E26" s="29"/>
      <c r="F26" s="29"/>
      <c r="G26" s="36"/>
    </row>
    <row r="27" spans="3:13" ht="15.75" thickBot="1">
      <c r="C27" s="59"/>
      <c r="D27" s="29"/>
      <c r="E27" s="29"/>
      <c r="F27" s="32">
        <f>SUM(F8:F26)</f>
        <v>494400</v>
      </c>
      <c r="G27" s="33">
        <f>SUM(G8:G26)</f>
        <v>494400</v>
      </c>
    </row>
    <row r="28" spans="3:13">
      <c r="C28" s="59"/>
      <c r="D28" s="29"/>
      <c r="E28" s="29"/>
      <c r="F28" s="29"/>
      <c r="G28" s="36"/>
    </row>
    <row r="29" spans="3:13">
      <c r="C29" s="59"/>
      <c r="D29" s="29"/>
      <c r="E29" s="29"/>
      <c r="F29" s="29"/>
      <c r="G29" s="36"/>
    </row>
    <row r="30" spans="3:13">
      <c r="C30" s="59"/>
      <c r="D30" s="29"/>
      <c r="E30" s="29"/>
      <c r="F30" s="29"/>
      <c r="G30" s="36"/>
    </row>
    <row r="31" spans="3:13">
      <c r="C31" s="59"/>
      <c r="D31" s="29"/>
      <c r="E31" s="29"/>
      <c r="F31" s="29"/>
      <c r="G31" s="36"/>
    </row>
    <row r="32" spans="3:13">
      <c r="C32" s="59"/>
      <c r="D32" s="29"/>
      <c r="E32" s="29"/>
      <c r="F32" s="29"/>
      <c r="G32" s="36"/>
    </row>
    <row r="33" spans="3:7">
      <c r="C33" s="59"/>
      <c r="D33" s="29"/>
      <c r="E33" s="29"/>
      <c r="F33" s="29"/>
      <c r="G33" s="36"/>
    </row>
    <row r="34" spans="3:7">
      <c r="C34" s="59"/>
      <c r="D34" s="29"/>
      <c r="E34" s="29"/>
      <c r="F34" s="29"/>
      <c r="G34" s="36"/>
    </row>
    <row r="35" spans="3:7">
      <c r="C35" s="59"/>
      <c r="D35" s="29"/>
      <c r="E35" s="29"/>
      <c r="F35" s="29"/>
      <c r="G35" s="36"/>
    </row>
    <row r="36" spans="3:7">
      <c r="C36" s="59"/>
      <c r="D36" s="29"/>
      <c r="E36" s="29"/>
      <c r="F36" s="29"/>
      <c r="G36" s="36"/>
    </row>
    <row r="37" spans="3:7">
      <c r="C37" s="59"/>
      <c r="D37" s="29"/>
      <c r="E37" s="29"/>
      <c r="F37" s="29"/>
      <c r="G37" s="36"/>
    </row>
    <row r="38" spans="3:7">
      <c r="C38" s="59"/>
      <c r="D38" s="29"/>
      <c r="E38" s="29"/>
      <c r="F38" s="29"/>
      <c r="G38" s="36"/>
    </row>
    <row r="39" spans="3:7" ht="15.75" thickBot="1">
      <c r="C39" s="79"/>
      <c r="D39" s="80"/>
      <c r="E39" s="80"/>
      <c r="F39" s="80"/>
      <c r="G39" s="81"/>
    </row>
  </sheetData>
  <mergeCells count="3">
    <mergeCell ref="D4:F4"/>
    <mergeCell ref="D5:G5"/>
    <mergeCell ref="D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R10"/>
  <sheetViews>
    <sheetView topLeftCell="C1" workbookViewId="0">
      <selection activeCell="O8" sqref="O8"/>
    </sheetView>
  </sheetViews>
  <sheetFormatPr defaultRowHeight="15"/>
  <cols>
    <col min="2" max="2" width="22.28515625" customWidth="1"/>
    <col min="8" max="8" width="26.140625" customWidth="1"/>
    <col min="15" max="15" width="22.140625" customWidth="1"/>
  </cols>
  <sheetData>
    <row r="3" spans="1:18" ht="18.75">
      <c r="A3" s="90" t="s">
        <v>0</v>
      </c>
      <c r="B3" s="90"/>
      <c r="C3" s="90"/>
      <c r="D3" s="90"/>
      <c r="E3" s="90"/>
      <c r="G3" s="90" t="s">
        <v>21</v>
      </c>
      <c r="H3" s="90"/>
      <c r="I3" s="90"/>
      <c r="J3" s="90"/>
      <c r="K3" s="90"/>
      <c r="N3" s="90" t="s">
        <v>22</v>
      </c>
      <c r="O3" s="90"/>
      <c r="P3" s="90"/>
      <c r="Q3" s="90"/>
      <c r="R3" s="90"/>
    </row>
    <row r="4" spans="1:18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G4" s="2" t="s">
        <v>1</v>
      </c>
      <c r="H4" s="3" t="s">
        <v>2</v>
      </c>
      <c r="I4" s="3" t="s">
        <v>3</v>
      </c>
      <c r="J4" s="3" t="s">
        <v>4</v>
      </c>
      <c r="K4" s="4" t="s">
        <v>5</v>
      </c>
      <c r="N4" s="2" t="s">
        <v>1</v>
      </c>
      <c r="O4" s="3" t="s">
        <v>2</v>
      </c>
      <c r="P4" s="3" t="s">
        <v>3</v>
      </c>
      <c r="Q4" s="3" t="s">
        <v>4</v>
      </c>
      <c r="R4" s="4" t="s">
        <v>5</v>
      </c>
    </row>
    <row r="6" spans="1:18">
      <c r="A6">
        <v>1</v>
      </c>
      <c r="B6" t="s">
        <v>8</v>
      </c>
      <c r="G6">
        <v>1</v>
      </c>
      <c r="H6" t="s">
        <v>24</v>
      </c>
      <c r="N6">
        <v>1</v>
      </c>
      <c r="O6" t="s">
        <v>8</v>
      </c>
    </row>
    <row r="7" spans="1:18">
      <c r="B7" t="s">
        <v>23</v>
      </c>
      <c r="H7" t="s">
        <v>25</v>
      </c>
      <c r="O7" t="s">
        <v>27</v>
      </c>
    </row>
    <row r="8" spans="1:18">
      <c r="H8" t="s">
        <v>26</v>
      </c>
      <c r="O8" t="s">
        <v>25</v>
      </c>
    </row>
    <row r="10" spans="1:18">
      <c r="O10" t="s">
        <v>28</v>
      </c>
    </row>
  </sheetData>
  <mergeCells count="3">
    <mergeCell ref="A3:E3"/>
    <mergeCell ref="G3:K3"/>
    <mergeCell ref="N3:R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6"/>
  <sheetViews>
    <sheetView workbookViewId="0">
      <selection activeCell="G18" sqref="G18"/>
    </sheetView>
  </sheetViews>
  <sheetFormatPr defaultRowHeight="15"/>
  <cols>
    <col min="2" max="2" width="46" customWidth="1"/>
    <col min="11" max="11" width="25.5703125" customWidth="1"/>
  </cols>
  <sheetData>
    <row r="3" spans="1:14">
      <c r="M3" t="s">
        <v>34</v>
      </c>
    </row>
    <row r="4" spans="1:14" ht="18.75">
      <c r="A4" s="93" t="s">
        <v>22</v>
      </c>
      <c r="B4" s="94"/>
      <c r="C4" s="94"/>
      <c r="D4" s="94"/>
      <c r="E4" s="95"/>
      <c r="K4" t="s">
        <v>32</v>
      </c>
      <c r="L4">
        <v>10</v>
      </c>
    </row>
    <row r="5" spans="1:14">
      <c r="A5" s="2" t="s">
        <v>1</v>
      </c>
      <c r="B5" s="3" t="s">
        <v>2</v>
      </c>
      <c r="C5" s="3" t="s">
        <v>3</v>
      </c>
      <c r="D5" s="3" t="s">
        <v>4</v>
      </c>
      <c r="E5" s="4" t="s">
        <v>5</v>
      </c>
      <c r="K5" t="s">
        <v>31</v>
      </c>
      <c r="L5">
        <f>10*0.05</f>
        <v>0.5</v>
      </c>
      <c r="M5">
        <v>10000</v>
      </c>
      <c r="N5">
        <f>M5*L5</f>
        <v>5000</v>
      </c>
    </row>
    <row r="6" spans="1:14">
      <c r="A6">
        <v>1</v>
      </c>
      <c r="B6" t="s">
        <v>8</v>
      </c>
      <c r="D6">
        <v>95000</v>
      </c>
      <c r="L6">
        <f>L4-L5</f>
        <v>9.5</v>
      </c>
    </row>
    <row r="7" spans="1:14">
      <c r="B7" t="s">
        <v>29</v>
      </c>
      <c r="D7">
        <v>5000</v>
      </c>
      <c r="K7" t="s">
        <v>33</v>
      </c>
      <c r="L7">
        <v>10000</v>
      </c>
    </row>
    <row r="8" spans="1:14">
      <c r="B8" t="s">
        <v>30</v>
      </c>
      <c r="E8">
        <f>10000*10</f>
        <v>100000</v>
      </c>
      <c r="L8">
        <f>L7*L6</f>
        <v>95000</v>
      </c>
    </row>
    <row r="10" spans="1:14">
      <c r="B10" s="1" t="s">
        <v>35</v>
      </c>
    </row>
    <row r="12" spans="1:14">
      <c r="A12">
        <v>2</v>
      </c>
      <c r="B12" t="s">
        <v>8</v>
      </c>
      <c r="D12">
        <f>9.5* 25000</f>
        <v>237500</v>
      </c>
    </row>
    <row r="13" spans="1:14">
      <c r="B13" t="s">
        <v>9</v>
      </c>
      <c r="E13">
        <f>9.5* 25000</f>
        <v>237500</v>
      </c>
    </row>
    <row r="14" spans="1:14">
      <c r="B14" s="1" t="s">
        <v>10</v>
      </c>
    </row>
    <row r="16" spans="1:14">
      <c r="A16">
        <v>3</v>
      </c>
      <c r="B16" t="s">
        <v>14</v>
      </c>
      <c r="D16">
        <f>25000*9.5</f>
        <v>237500</v>
      </c>
    </row>
    <row r="17" spans="2:14">
      <c r="B17" t="s">
        <v>19</v>
      </c>
      <c r="D17">
        <f>25000*L5</f>
        <v>12500</v>
      </c>
    </row>
    <row r="18" spans="2:14">
      <c r="B18" t="s">
        <v>20</v>
      </c>
      <c r="E18">
        <f>25000* L4</f>
        <v>250000</v>
      </c>
      <c r="M18">
        <f>250000-237500</f>
        <v>12500</v>
      </c>
    </row>
    <row r="20" spans="2:14">
      <c r="B20" s="1" t="s">
        <v>36</v>
      </c>
    </row>
    <row r="21" spans="2:14">
      <c r="K21" t="s">
        <v>37</v>
      </c>
      <c r="L21">
        <v>5000</v>
      </c>
      <c r="M21">
        <v>9.5</v>
      </c>
      <c r="N21">
        <f>L21*M21</f>
        <v>47500</v>
      </c>
    </row>
    <row r="22" spans="2:14">
      <c r="B22" t="s">
        <v>8</v>
      </c>
      <c r="D22">
        <v>47500</v>
      </c>
    </row>
    <row r="23" spans="2:14">
      <c r="B23" t="s">
        <v>29</v>
      </c>
      <c r="D23">
        <f>5000*L5</f>
        <v>2500</v>
      </c>
      <c r="L23">
        <v>5000</v>
      </c>
      <c r="M23">
        <v>10</v>
      </c>
      <c r="N23">
        <f>L23*M23</f>
        <v>50000</v>
      </c>
    </row>
    <row r="24" spans="2:14">
      <c r="B24" t="s">
        <v>30</v>
      </c>
      <c r="E24">
        <v>50000</v>
      </c>
    </row>
    <row r="26" spans="2:14">
      <c r="B26" s="1" t="s">
        <v>38</v>
      </c>
    </row>
  </sheetData>
  <mergeCells count="1"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5:F14"/>
  <sheetViews>
    <sheetView topLeftCell="A4" workbookViewId="0">
      <selection activeCell="B14" sqref="B14:F14"/>
    </sheetView>
  </sheetViews>
  <sheetFormatPr defaultRowHeight="15"/>
  <cols>
    <col min="5" max="5" width="16.42578125" customWidth="1"/>
    <col min="6" max="6" width="57.7109375" bestFit="1" customWidth="1"/>
  </cols>
  <sheetData>
    <row r="5" spans="1:6">
      <c r="B5" s="7" t="s">
        <v>39</v>
      </c>
      <c r="C5" s="8"/>
      <c r="D5" s="8"/>
      <c r="E5" s="8"/>
      <c r="F5" s="8"/>
    </row>
    <row r="6" spans="1:6">
      <c r="A6">
        <v>1</v>
      </c>
      <c r="B6" s="92" t="s">
        <v>40</v>
      </c>
      <c r="C6" s="92"/>
      <c r="D6" s="92"/>
      <c r="E6" s="92"/>
      <c r="F6" t="s">
        <v>45</v>
      </c>
    </row>
    <row r="7" spans="1:6">
      <c r="A7">
        <v>2</v>
      </c>
      <c r="B7" s="92" t="s">
        <v>41</v>
      </c>
      <c r="C7" s="92"/>
      <c r="D7" s="92"/>
      <c r="E7" s="92"/>
      <c r="F7" t="s">
        <v>46</v>
      </c>
    </row>
    <row r="8" spans="1:6">
      <c r="A8">
        <v>3</v>
      </c>
      <c r="B8" s="92" t="s">
        <v>42</v>
      </c>
      <c r="C8" s="92"/>
      <c r="D8" s="92"/>
      <c r="E8" s="92"/>
      <c r="F8" t="s">
        <v>47</v>
      </c>
    </row>
    <row r="9" spans="1:6">
      <c r="A9">
        <v>4</v>
      </c>
      <c r="B9" s="92" t="s">
        <v>43</v>
      </c>
      <c r="C9" s="92"/>
      <c r="D9" s="92"/>
      <c r="E9" s="92"/>
      <c r="F9" t="s">
        <v>48</v>
      </c>
    </row>
    <row r="10" spans="1:6">
      <c r="A10">
        <v>5</v>
      </c>
      <c r="B10" s="92" t="s">
        <v>44</v>
      </c>
      <c r="C10" s="92"/>
      <c r="D10" s="92"/>
      <c r="E10" s="92"/>
      <c r="F10" t="s">
        <v>49</v>
      </c>
    </row>
    <row r="14" spans="1:6">
      <c r="B14" s="92"/>
      <c r="C14" s="92"/>
      <c r="D14" s="92"/>
      <c r="E14" s="92"/>
      <c r="F14" s="92"/>
    </row>
  </sheetData>
  <mergeCells count="6">
    <mergeCell ref="B14:F14"/>
    <mergeCell ref="B6:E6"/>
    <mergeCell ref="B7:E7"/>
    <mergeCell ref="B8:E8"/>
    <mergeCell ref="B9:E9"/>
    <mergeCell ref="B10:E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C125"/>
  <sheetViews>
    <sheetView topLeftCell="A103" zoomScale="80" zoomScaleNormal="80" workbookViewId="0">
      <selection activeCell="A125" sqref="A125:XFD125"/>
    </sheetView>
  </sheetViews>
  <sheetFormatPr defaultRowHeight="15"/>
  <cols>
    <col min="1" max="1" width="5.85546875" customWidth="1"/>
    <col min="2" max="2" width="40.28515625" bestFit="1" customWidth="1"/>
    <col min="3" max="3" width="169.85546875" customWidth="1"/>
  </cols>
  <sheetData>
    <row r="4" spans="1:3" ht="18.75">
      <c r="B4" s="96" t="s">
        <v>50</v>
      </c>
      <c r="C4" s="96"/>
    </row>
    <row r="6" spans="1:3" ht="21">
      <c r="A6">
        <v>1</v>
      </c>
      <c r="B6" s="1" t="s">
        <v>51</v>
      </c>
      <c r="C6" s="15" t="s">
        <v>91</v>
      </c>
    </row>
    <row r="7" spans="1:3">
      <c r="C7" t="s">
        <v>52</v>
      </c>
    </row>
    <row r="8" spans="1:3">
      <c r="C8" t="s">
        <v>53</v>
      </c>
    </row>
    <row r="9" spans="1:3">
      <c r="C9" t="s">
        <v>54</v>
      </c>
    </row>
    <row r="11" spans="1:3">
      <c r="C11" t="s">
        <v>55</v>
      </c>
    </row>
    <row r="13" spans="1:3">
      <c r="A13">
        <v>2</v>
      </c>
      <c r="B13" t="s">
        <v>56</v>
      </c>
    </row>
    <row r="14" spans="1:3" ht="28.5" customHeight="1">
      <c r="C14" s="19" t="s">
        <v>57</v>
      </c>
    </row>
    <row r="15" spans="1:3">
      <c r="C15" t="s">
        <v>58</v>
      </c>
    </row>
    <row r="16" spans="1:3">
      <c r="C16" t="s">
        <v>59</v>
      </c>
    </row>
    <row r="18" spans="1:3">
      <c r="C18" t="s">
        <v>60</v>
      </c>
    </row>
    <row r="22" spans="1:3" ht="21">
      <c r="A22">
        <v>3</v>
      </c>
      <c r="B22" t="s">
        <v>61</v>
      </c>
      <c r="C22" s="15" t="s">
        <v>92</v>
      </c>
    </row>
    <row r="23" spans="1:3">
      <c r="C23" t="s">
        <v>62</v>
      </c>
    </row>
    <row r="24" spans="1:3">
      <c r="C24" t="s">
        <v>63</v>
      </c>
    </row>
    <row r="25" spans="1:3">
      <c r="A25">
        <v>4</v>
      </c>
      <c r="B25" t="s">
        <v>64</v>
      </c>
    </row>
    <row r="26" spans="1:3" ht="21">
      <c r="C26" s="15" t="s">
        <v>93</v>
      </c>
    </row>
    <row r="27" spans="1:3">
      <c r="C27" t="s">
        <v>65</v>
      </c>
    </row>
    <row r="29" spans="1:3" ht="18.75">
      <c r="A29">
        <v>5</v>
      </c>
      <c r="B29" t="s">
        <v>66</v>
      </c>
      <c r="C29" s="18" t="s">
        <v>68</v>
      </c>
    </row>
    <row r="30" spans="1:3">
      <c r="C30" t="s">
        <v>67</v>
      </c>
    </row>
    <row r="36" spans="2:3" ht="21">
      <c r="B36" s="22" t="s">
        <v>126</v>
      </c>
      <c r="C36" s="23" t="s">
        <v>125</v>
      </c>
    </row>
    <row r="38" spans="2:3">
      <c r="B38" t="s">
        <v>127</v>
      </c>
      <c r="C38" t="s">
        <v>129</v>
      </c>
    </row>
    <row r="39" spans="2:3">
      <c r="B39" t="s">
        <v>128</v>
      </c>
      <c r="C39" t="s">
        <v>130</v>
      </c>
    </row>
    <row r="42" spans="2:3" ht="18.75">
      <c r="B42" s="22" t="s">
        <v>131</v>
      </c>
      <c r="C42" t="s">
        <v>132</v>
      </c>
    </row>
    <row r="44" spans="2:3" ht="21">
      <c r="B44" s="1" t="s">
        <v>133</v>
      </c>
      <c r="C44" s="15" t="s">
        <v>137</v>
      </c>
    </row>
    <row r="45" spans="2:3">
      <c r="C45" s="16" t="s">
        <v>134</v>
      </c>
    </row>
    <row r="47" spans="2:3" ht="18.75">
      <c r="B47" s="1" t="s">
        <v>135</v>
      </c>
      <c r="C47" s="18" t="s">
        <v>136</v>
      </c>
    </row>
    <row r="49" spans="2:3" ht="18.75">
      <c r="B49" s="1" t="s">
        <v>138</v>
      </c>
      <c r="C49" s="18" t="s">
        <v>140</v>
      </c>
    </row>
    <row r="51" spans="2:3" ht="18.75">
      <c r="B51" s="10" t="s">
        <v>139</v>
      </c>
      <c r="C51" s="18" t="s">
        <v>141</v>
      </c>
    </row>
    <row r="55" spans="2:3" ht="18.75">
      <c r="B55" s="1" t="s">
        <v>142</v>
      </c>
      <c r="C55" s="18" t="s">
        <v>143</v>
      </c>
    </row>
    <row r="57" spans="2:3">
      <c r="B57" s="1" t="s">
        <v>144</v>
      </c>
      <c r="C57" t="s">
        <v>146</v>
      </c>
    </row>
    <row r="58" spans="2:3">
      <c r="B58" s="1" t="s">
        <v>145</v>
      </c>
      <c r="C58" t="s">
        <v>147</v>
      </c>
    </row>
    <row r="62" spans="2:3" ht="18.75">
      <c r="C62" s="18" t="s">
        <v>148</v>
      </c>
    </row>
    <row r="65" spans="2:3" ht="18.75">
      <c r="B65" s="16" t="s">
        <v>150</v>
      </c>
      <c r="C65" s="18" t="s">
        <v>149</v>
      </c>
    </row>
    <row r="68" spans="2:3" ht="18.75">
      <c r="B68" s="16" t="s">
        <v>152</v>
      </c>
      <c r="C68" s="18" t="s">
        <v>151</v>
      </c>
    </row>
    <row r="71" spans="2:3" ht="18.75">
      <c r="B71" s="16" t="s">
        <v>153</v>
      </c>
      <c r="C71" s="18" t="s">
        <v>154</v>
      </c>
    </row>
    <row r="74" spans="2:3">
      <c r="B74" t="s">
        <v>155</v>
      </c>
      <c r="C74" s="16" t="s">
        <v>156</v>
      </c>
    </row>
    <row r="75" spans="2:3">
      <c r="B75" t="s">
        <v>157</v>
      </c>
      <c r="C75" s="16" t="s">
        <v>158</v>
      </c>
    </row>
    <row r="77" spans="2:3" ht="18.75">
      <c r="B77" t="s">
        <v>159</v>
      </c>
      <c r="C77" s="18" t="s">
        <v>161</v>
      </c>
    </row>
    <row r="80" spans="2:3">
      <c r="B80" s="16" t="s">
        <v>51</v>
      </c>
    </row>
    <row r="82" spans="2:3" ht="18.75">
      <c r="B82" t="s">
        <v>164</v>
      </c>
      <c r="C82" s="18" t="s">
        <v>160</v>
      </c>
    </row>
    <row r="83" spans="2:3" ht="26.25">
      <c r="C83" s="26" t="s">
        <v>165</v>
      </c>
    </row>
    <row r="84" spans="2:3" ht="26.25">
      <c r="C84" s="25" t="s">
        <v>166</v>
      </c>
    </row>
    <row r="85" spans="2:3" ht="18.75">
      <c r="B85" t="s">
        <v>162</v>
      </c>
      <c r="C85" s="18" t="s">
        <v>163</v>
      </c>
    </row>
    <row r="86" spans="2:3" ht="18.75">
      <c r="C86" s="18" t="s">
        <v>167</v>
      </c>
    </row>
    <row r="87" spans="2:3" ht="18.75">
      <c r="C87" s="18" t="s">
        <v>168</v>
      </c>
    </row>
    <row r="89" spans="2:3">
      <c r="B89" s="16" t="s">
        <v>56</v>
      </c>
    </row>
    <row r="92" spans="2:3" ht="18.75">
      <c r="B92" s="16" t="s">
        <v>169</v>
      </c>
      <c r="C92" s="18" t="s">
        <v>170</v>
      </c>
    </row>
    <row r="93" spans="2:3">
      <c r="C93" s="16" t="s">
        <v>171</v>
      </c>
    </row>
    <row r="94" spans="2:3" ht="21">
      <c r="C94" s="15" t="s">
        <v>172</v>
      </c>
    </row>
    <row r="95" spans="2:3" ht="21">
      <c r="C95" s="15" t="s">
        <v>173</v>
      </c>
    </row>
    <row r="96" spans="2:3">
      <c r="C96" t="s">
        <v>174</v>
      </c>
    </row>
    <row r="97" spans="2:3" ht="21">
      <c r="C97" s="15" t="s">
        <v>175</v>
      </c>
    </row>
    <row r="98" spans="2:3" ht="21">
      <c r="C98" s="15" t="s">
        <v>180</v>
      </c>
    </row>
    <row r="99" spans="2:3">
      <c r="B99" s="16" t="s">
        <v>176</v>
      </c>
    </row>
    <row r="100" spans="2:3" ht="21">
      <c r="C100" s="15" t="s">
        <v>177</v>
      </c>
    </row>
    <row r="101" spans="2:3">
      <c r="C101" s="16" t="s">
        <v>178</v>
      </c>
    </row>
    <row r="102" spans="2:3">
      <c r="C102" s="16" t="s">
        <v>179</v>
      </c>
    </row>
    <row r="107" spans="2:3">
      <c r="B107" t="s">
        <v>181</v>
      </c>
      <c r="C107" t="s">
        <v>187</v>
      </c>
    </row>
    <row r="108" spans="2:3">
      <c r="C108" t="s">
        <v>184</v>
      </c>
    </row>
    <row r="109" spans="2:3">
      <c r="C109" t="s">
        <v>182</v>
      </c>
    </row>
    <row r="110" spans="2:3">
      <c r="C110" t="s">
        <v>183</v>
      </c>
    </row>
    <row r="113" spans="2:3">
      <c r="B113" t="s">
        <v>64</v>
      </c>
      <c r="C113" t="s">
        <v>185</v>
      </c>
    </row>
    <row r="114" spans="2:3">
      <c r="C114" t="s">
        <v>188</v>
      </c>
    </row>
    <row r="115" spans="2:3">
      <c r="C115" t="s">
        <v>186</v>
      </c>
    </row>
    <row r="125" spans="2:3" ht="21">
      <c r="B125" s="23" t="s">
        <v>189</v>
      </c>
      <c r="C125" s="23" t="s">
        <v>190</v>
      </c>
    </row>
  </sheetData>
  <mergeCells count="1">
    <mergeCell ref="B4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E31"/>
  <sheetViews>
    <sheetView topLeftCell="A16" workbookViewId="0">
      <selection activeCell="B38" sqref="B38"/>
    </sheetView>
  </sheetViews>
  <sheetFormatPr defaultRowHeight="15"/>
  <cols>
    <col min="2" max="2" width="32.5703125" customWidth="1"/>
    <col min="3" max="3" width="84.7109375" customWidth="1"/>
    <col min="4" max="4" width="30.28515625" customWidth="1"/>
    <col min="5" max="5" width="23" customWidth="1"/>
  </cols>
  <sheetData>
    <row r="3" spans="1:5" ht="18.75">
      <c r="A3" s="96" t="s">
        <v>69</v>
      </c>
      <c r="B3" s="96"/>
      <c r="C3" s="96"/>
      <c r="D3" s="96"/>
      <c r="E3" s="96"/>
    </row>
    <row r="5" spans="1:5">
      <c r="A5" s="5" t="s">
        <v>70</v>
      </c>
      <c r="B5" s="1" t="s">
        <v>71</v>
      </c>
    </row>
    <row r="6" spans="1:5">
      <c r="A6" s="6"/>
      <c r="C6" t="s">
        <v>72</v>
      </c>
    </row>
    <row r="7" spans="1:5">
      <c r="A7" s="6"/>
      <c r="C7" t="s">
        <v>73</v>
      </c>
    </row>
    <row r="8" spans="1:5">
      <c r="A8" s="6"/>
    </row>
    <row r="9" spans="1:5">
      <c r="A9" s="5">
        <v>2</v>
      </c>
      <c r="B9" s="14" t="s">
        <v>74</v>
      </c>
      <c r="C9" t="s">
        <v>75</v>
      </c>
    </row>
    <row r="10" spans="1:5">
      <c r="A10" s="6"/>
      <c r="C10" t="s">
        <v>76</v>
      </c>
    </row>
    <row r="11" spans="1:5">
      <c r="A11" s="6"/>
      <c r="B11" s="1" t="s">
        <v>77</v>
      </c>
      <c r="C11" t="s">
        <v>78</v>
      </c>
    </row>
    <row r="12" spans="1:5">
      <c r="A12" s="6"/>
    </row>
    <row r="13" spans="1:5">
      <c r="A13" s="6">
        <v>3</v>
      </c>
      <c r="B13" s="10" t="s">
        <v>79</v>
      </c>
      <c r="C13" t="s">
        <v>80</v>
      </c>
    </row>
    <row r="14" spans="1:5">
      <c r="A14" s="6"/>
      <c r="C14" t="s">
        <v>81</v>
      </c>
    </row>
    <row r="15" spans="1:5">
      <c r="A15" s="6"/>
    </row>
    <row r="16" spans="1:5">
      <c r="A16" s="6">
        <v>4</v>
      </c>
      <c r="B16" s="1" t="s">
        <v>82</v>
      </c>
      <c r="C16" s="16" t="s">
        <v>83</v>
      </c>
    </row>
    <row r="17" spans="1:3">
      <c r="A17" s="6"/>
    </row>
    <row r="18" spans="1:3">
      <c r="A18" s="5">
        <v>5</v>
      </c>
      <c r="B18" s="1" t="s">
        <v>97</v>
      </c>
      <c r="C18" s="16" t="s">
        <v>84</v>
      </c>
    </row>
    <row r="19" spans="1:3">
      <c r="A19" s="6"/>
    </row>
    <row r="20" spans="1:3">
      <c r="A20" s="6">
        <v>6</v>
      </c>
      <c r="B20" s="1" t="s">
        <v>85</v>
      </c>
      <c r="C20" s="16" t="s">
        <v>86</v>
      </c>
    </row>
    <row r="23" spans="1:3">
      <c r="A23" s="9">
        <v>7</v>
      </c>
      <c r="B23" s="1" t="s">
        <v>95</v>
      </c>
      <c r="C23" s="16" t="s">
        <v>94</v>
      </c>
    </row>
    <row r="24" spans="1:3">
      <c r="A24" s="9"/>
    </row>
    <row r="25" spans="1:3">
      <c r="A25" s="9">
        <v>8</v>
      </c>
      <c r="B25" s="1" t="s">
        <v>96</v>
      </c>
      <c r="C25" s="16" t="s">
        <v>98</v>
      </c>
    </row>
    <row r="27" spans="1:3">
      <c r="A27" s="9">
        <v>9</v>
      </c>
      <c r="B27" s="1" t="s">
        <v>99</v>
      </c>
      <c r="C27" s="16" t="s">
        <v>100</v>
      </c>
    </row>
    <row r="29" spans="1:3" ht="15.75">
      <c r="A29" s="9">
        <v>10</v>
      </c>
      <c r="B29" s="1" t="s">
        <v>101</v>
      </c>
      <c r="C29" s="17" t="s">
        <v>102</v>
      </c>
    </row>
    <row r="31" spans="1:3" ht="15.75">
      <c r="A31" s="9">
        <v>11</v>
      </c>
      <c r="B31" s="1" t="s">
        <v>103</v>
      </c>
      <c r="C31" s="17" t="s">
        <v>104</v>
      </c>
    </row>
  </sheetData>
  <mergeCells count="1"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Q83"/>
  <sheetViews>
    <sheetView topLeftCell="D1" workbookViewId="0">
      <selection activeCell="H15" sqref="H15"/>
    </sheetView>
  </sheetViews>
  <sheetFormatPr defaultRowHeight="15"/>
  <cols>
    <col min="1" max="1" width="9.42578125" bestFit="1" customWidth="1"/>
    <col min="2" max="2" width="35.85546875" customWidth="1"/>
    <col min="8" max="8" width="27.5703125" customWidth="1"/>
    <col min="13" max="13" width="9.7109375" bestFit="1" customWidth="1"/>
    <col min="14" max="14" width="34.5703125" customWidth="1"/>
  </cols>
  <sheetData>
    <row r="2" spans="1:17" ht="15.75" thickBot="1"/>
    <row r="3" spans="1:17" ht="19.5" thickBot="1">
      <c r="A3" s="97" t="s">
        <v>87</v>
      </c>
      <c r="B3" s="98"/>
      <c r="C3" s="98"/>
      <c r="D3" s="98"/>
      <c r="E3" s="99"/>
      <c r="G3" s="97" t="s">
        <v>88</v>
      </c>
      <c r="H3" s="98"/>
      <c r="I3" s="98"/>
      <c r="J3" s="98"/>
      <c r="K3" s="99"/>
      <c r="M3" s="97"/>
      <c r="N3" s="98"/>
      <c r="O3" s="98"/>
      <c r="P3" s="98"/>
      <c r="Q3" s="99"/>
    </row>
    <row r="4" spans="1:17">
      <c r="A4" s="11" t="s">
        <v>1</v>
      </c>
      <c r="B4" s="12" t="s">
        <v>2</v>
      </c>
      <c r="C4" s="12" t="s">
        <v>3</v>
      </c>
      <c r="D4" s="12" t="s">
        <v>4</v>
      </c>
      <c r="E4" s="13" t="s">
        <v>5</v>
      </c>
      <c r="G4" s="11" t="s">
        <v>1</v>
      </c>
      <c r="H4" s="12" t="s">
        <v>2</v>
      </c>
      <c r="I4" s="12" t="s">
        <v>3</v>
      </c>
      <c r="J4" s="12" t="s">
        <v>4</v>
      </c>
      <c r="K4" s="13" t="s">
        <v>5</v>
      </c>
      <c r="M4" s="11" t="s">
        <v>1</v>
      </c>
      <c r="N4" s="12" t="s">
        <v>2</v>
      </c>
      <c r="O4" s="12" t="s">
        <v>3</v>
      </c>
      <c r="P4" s="12" t="s">
        <v>4</v>
      </c>
      <c r="Q4" s="13" t="s">
        <v>5</v>
      </c>
    </row>
    <row r="5" spans="1:17">
      <c r="A5" s="27">
        <v>40179</v>
      </c>
      <c r="B5" t="s">
        <v>192</v>
      </c>
      <c r="D5">
        <f>5000*100</f>
        <v>500000</v>
      </c>
      <c r="H5" t="s">
        <v>8</v>
      </c>
      <c r="M5" s="27">
        <v>40178</v>
      </c>
      <c r="N5" t="s">
        <v>250</v>
      </c>
      <c r="P5">
        <v>3600</v>
      </c>
    </row>
    <row r="6" spans="1:17">
      <c r="B6" t="s">
        <v>195</v>
      </c>
      <c r="E6">
        <f>5000*100</f>
        <v>500000</v>
      </c>
      <c r="H6" t="s">
        <v>89</v>
      </c>
      <c r="N6" t="s">
        <v>251</v>
      </c>
      <c r="Q6">
        <v>3600</v>
      </c>
    </row>
    <row r="7" spans="1:17">
      <c r="H7" t="s">
        <v>90</v>
      </c>
      <c r="N7" s="1" t="s">
        <v>252</v>
      </c>
    </row>
    <row r="8" spans="1:17">
      <c r="B8" s="24" t="s">
        <v>191</v>
      </c>
      <c r="N8" t="s">
        <v>254</v>
      </c>
      <c r="P8">
        <v>3600</v>
      </c>
    </row>
    <row r="9" spans="1:17">
      <c r="N9" t="s">
        <v>253</v>
      </c>
      <c r="Q9">
        <v>3600</v>
      </c>
    </row>
    <row r="10" spans="1:17">
      <c r="A10" s="27">
        <v>40359</v>
      </c>
      <c r="B10" t="s">
        <v>194</v>
      </c>
      <c r="D10">
        <v>25000</v>
      </c>
      <c r="H10" s="49" t="s">
        <v>265</v>
      </c>
    </row>
    <row r="11" spans="1:17">
      <c r="B11" t="s">
        <v>193</v>
      </c>
      <c r="E11">
        <v>25000</v>
      </c>
      <c r="N11" s="31" t="s">
        <v>255</v>
      </c>
    </row>
    <row r="12" spans="1:17">
      <c r="H12" t="s">
        <v>259</v>
      </c>
      <c r="J12">
        <v>15000</v>
      </c>
    </row>
    <row r="13" spans="1:17">
      <c r="B13" t="s">
        <v>196</v>
      </c>
      <c r="C13" t="s">
        <v>197</v>
      </c>
      <c r="D13">
        <f>500000*10/100</f>
        <v>50000</v>
      </c>
      <c r="H13" t="s">
        <v>205</v>
      </c>
      <c r="K13">
        <f>150*96</f>
        <v>14400</v>
      </c>
    </row>
    <row r="14" spans="1:17">
      <c r="C14" t="s">
        <v>198</v>
      </c>
      <c r="D14">
        <f>50000/2</f>
        <v>25000</v>
      </c>
      <c r="H14" t="s">
        <v>260</v>
      </c>
      <c r="K14">
        <v>600</v>
      </c>
      <c r="N14" s="49" t="s">
        <v>256</v>
      </c>
    </row>
    <row r="16" spans="1:17">
      <c r="B16" s="1" t="s">
        <v>199</v>
      </c>
      <c r="H16" s="1" t="s">
        <v>261</v>
      </c>
      <c r="N16" t="s">
        <v>254</v>
      </c>
      <c r="P16">
        <v>15000</v>
      </c>
    </row>
    <row r="17" spans="1:17">
      <c r="H17" s="1"/>
      <c r="N17" t="s">
        <v>257</v>
      </c>
      <c r="Q17">
        <v>15000</v>
      </c>
    </row>
    <row r="19" spans="1:17">
      <c r="A19" t="s">
        <v>200</v>
      </c>
      <c r="B19" t="s">
        <v>194</v>
      </c>
      <c r="D19">
        <v>25000</v>
      </c>
      <c r="N19" s="1" t="s">
        <v>258</v>
      </c>
    </row>
    <row r="20" spans="1:17">
      <c r="B20" t="s">
        <v>193</v>
      </c>
      <c r="E20">
        <v>25000</v>
      </c>
      <c r="H20" t="s">
        <v>262</v>
      </c>
      <c r="J20">
        <v>15000</v>
      </c>
    </row>
    <row r="21" spans="1:17">
      <c r="H21" t="s">
        <v>263</v>
      </c>
      <c r="K21">
        <v>15000</v>
      </c>
      <c r="N21" t="s">
        <v>259</v>
      </c>
      <c r="P21">
        <v>15000</v>
      </c>
    </row>
    <row r="22" spans="1:17">
      <c r="B22" s="1" t="s">
        <v>199</v>
      </c>
      <c r="H22" t="s">
        <v>264</v>
      </c>
      <c r="N22" t="s">
        <v>205</v>
      </c>
      <c r="Q22">
        <f>150*96</f>
        <v>14400</v>
      </c>
    </row>
    <row r="23" spans="1:17">
      <c r="H23" s="1"/>
      <c r="N23" t="s">
        <v>260</v>
      </c>
      <c r="Q23">
        <v>600</v>
      </c>
    </row>
    <row r="25" spans="1:17">
      <c r="N25" s="1" t="s">
        <v>261</v>
      </c>
    </row>
    <row r="26" spans="1:17">
      <c r="A26" t="s">
        <v>200</v>
      </c>
      <c r="B26" t="s">
        <v>202</v>
      </c>
      <c r="D26">
        <v>50000</v>
      </c>
    </row>
    <row r="27" spans="1:17">
      <c r="B27" t="s">
        <v>201</v>
      </c>
      <c r="E27">
        <v>50000</v>
      </c>
    </row>
    <row r="28" spans="1:17">
      <c r="M28" s="27">
        <v>40543</v>
      </c>
      <c r="N28" t="s">
        <v>250</v>
      </c>
      <c r="P28">
        <v>1800</v>
      </c>
    </row>
    <row r="29" spans="1:17">
      <c r="N29" t="s">
        <v>251</v>
      </c>
      <c r="Q29">
        <v>1800</v>
      </c>
    </row>
    <row r="30" spans="1:17">
      <c r="B30" s="1" t="s">
        <v>203</v>
      </c>
      <c r="N30" s="1" t="s">
        <v>252</v>
      </c>
    </row>
    <row r="33" spans="1:17">
      <c r="N33" t="s">
        <v>254</v>
      </c>
    </row>
    <row r="34" spans="1:17">
      <c r="B34" t="s">
        <v>204</v>
      </c>
      <c r="N34" t="s">
        <v>253</v>
      </c>
    </row>
    <row r="35" spans="1:17">
      <c r="B35" t="s">
        <v>205</v>
      </c>
    </row>
    <row r="36" spans="1:17">
      <c r="N36" s="31" t="s">
        <v>255</v>
      </c>
    </row>
    <row r="38" spans="1:17" ht="16.5" customHeight="1">
      <c r="N38" s="49" t="s">
        <v>256</v>
      </c>
    </row>
    <row r="40" spans="1:17">
      <c r="N40" t="s">
        <v>254</v>
      </c>
      <c r="P40">
        <v>15000</v>
      </c>
    </row>
    <row r="41" spans="1:17">
      <c r="A41" s="27">
        <v>40179</v>
      </c>
      <c r="B41" t="s">
        <v>192</v>
      </c>
      <c r="D41">
        <f>5000*100</f>
        <v>500000</v>
      </c>
      <c r="N41" t="s">
        <v>257</v>
      </c>
      <c r="Q41">
        <v>15000</v>
      </c>
    </row>
    <row r="42" spans="1:17">
      <c r="B42" t="s">
        <v>206</v>
      </c>
      <c r="E42">
        <f>5000*100</f>
        <v>500000</v>
      </c>
    </row>
    <row r="43" spans="1:17">
      <c r="N43" s="1" t="s">
        <v>258</v>
      </c>
    </row>
    <row r="44" spans="1:17">
      <c r="B44" s="24" t="s">
        <v>191</v>
      </c>
    </row>
    <row r="46" spans="1:17">
      <c r="A46" s="27">
        <v>40359</v>
      </c>
      <c r="B46" t="s">
        <v>194</v>
      </c>
      <c r="D46">
        <v>30000</v>
      </c>
      <c r="N46" t="s">
        <v>262</v>
      </c>
      <c r="P46">
        <v>15000</v>
      </c>
    </row>
    <row r="47" spans="1:17">
      <c r="B47" t="s">
        <v>193</v>
      </c>
      <c r="E47">
        <v>30000</v>
      </c>
      <c r="N47" t="s">
        <v>263</v>
      </c>
      <c r="Q47">
        <v>15000</v>
      </c>
    </row>
    <row r="48" spans="1:17">
      <c r="N48" t="s">
        <v>264</v>
      </c>
    </row>
    <row r="49" spans="1:5">
      <c r="B49" t="s">
        <v>207</v>
      </c>
    </row>
    <row r="50" spans="1:5">
      <c r="C50" t="s">
        <v>208</v>
      </c>
      <c r="D50">
        <f>500000*12%</f>
        <v>60000</v>
      </c>
    </row>
    <row r="51" spans="1:5">
      <c r="C51" t="s">
        <v>209</v>
      </c>
      <c r="D51">
        <f>D50/2</f>
        <v>30000</v>
      </c>
    </row>
    <row r="53" spans="1:5">
      <c r="B53" s="1" t="s">
        <v>199</v>
      </c>
    </row>
    <row r="55" spans="1:5">
      <c r="A55" t="s">
        <v>210</v>
      </c>
      <c r="B55" t="s">
        <v>204</v>
      </c>
      <c r="D55" s="21">
        <v>50000</v>
      </c>
    </row>
    <row r="56" spans="1:5">
      <c r="B56" t="s">
        <v>205</v>
      </c>
      <c r="E56" s="21">
        <v>50000</v>
      </c>
    </row>
    <row r="58" spans="1:5">
      <c r="B58" s="1" t="s">
        <v>211</v>
      </c>
    </row>
    <row r="61" spans="1:5">
      <c r="B61" s="29"/>
    </row>
    <row r="62" spans="1:5">
      <c r="A62" t="s">
        <v>212</v>
      </c>
      <c r="B62" s="30" t="s">
        <v>194</v>
      </c>
      <c r="D62">
        <v>30000</v>
      </c>
    </row>
    <row r="63" spans="1:5">
      <c r="B63" s="29"/>
    </row>
    <row r="64" spans="1:5">
      <c r="B64" t="s">
        <v>213</v>
      </c>
      <c r="E64">
        <v>27000</v>
      </c>
    </row>
    <row r="65" spans="1:7">
      <c r="B65" t="s">
        <v>214</v>
      </c>
      <c r="E65">
        <v>3000</v>
      </c>
    </row>
    <row r="66" spans="1:7">
      <c r="G66" s="28"/>
    </row>
    <row r="67" spans="1:7">
      <c r="B67" s="1" t="s">
        <v>215</v>
      </c>
    </row>
    <row r="71" spans="1:7">
      <c r="A71" t="s">
        <v>212</v>
      </c>
      <c r="B71" t="s">
        <v>217</v>
      </c>
      <c r="D71">
        <v>60000</v>
      </c>
    </row>
    <row r="73" spans="1:7">
      <c r="B73" s="30" t="s">
        <v>216</v>
      </c>
      <c r="E73">
        <v>60000</v>
      </c>
    </row>
    <row r="75" spans="1:7">
      <c r="B75" s="1" t="s">
        <v>203</v>
      </c>
    </row>
    <row r="79" spans="1:7">
      <c r="B79" t="s">
        <v>218</v>
      </c>
      <c r="D79">
        <v>3000</v>
      </c>
    </row>
    <row r="80" spans="1:7">
      <c r="B80" t="s">
        <v>219</v>
      </c>
    </row>
    <row r="81" spans="2:5">
      <c r="B81" t="s">
        <v>220</v>
      </c>
      <c r="E81">
        <v>3000</v>
      </c>
    </row>
    <row r="83" spans="2:5">
      <c r="B83" s="1" t="s">
        <v>221</v>
      </c>
    </row>
  </sheetData>
  <mergeCells count="3">
    <mergeCell ref="A3:E3"/>
    <mergeCell ref="G3:K3"/>
    <mergeCell ref="M3:Q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4:R50"/>
  <sheetViews>
    <sheetView topLeftCell="A19" workbookViewId="0">
      <selection activeCell="D12" sqref="D12"/>
    </sheetView>
  </sheetViews>
  <sheetFormatPr defaultRowHeight="15"/>
  <cols>
    <col min="1" max="1" width="9.7109375" bestFit="1" customWidth="1"/>
    <col min="2" max="2" width="40" bestFit="1" customWidth="1"/>
    <col min="4" max="4" width="10" customWidth="1"/>
    <col min="7" max="7" width="9.7109375" bestFit="1" customWidth="1"/>
    <col min="8" max="8" width="28.7109375" customWidth="1"/>
    <col min="11" max="11" width="10.140625" bestFit="1" customWidth="1"/>
    <col min="12" max="12" width="19.28515625" customWidth="1"/>
    <col min="15" max="15" width="24.5703125" customWidth="1"/>
  </cols>
  <sheetData>
    <row r="4" spans="1:18" ht="21">
      <c r="A4" s="100" t="s">
        <v>105</v>
      </c>
      <c r="B4" s="100"/>
      <c r="C4" s="100"/>
      <c r="D4" s="100"/>
      <c r="E4" s="100"/>
      <c r="F4" s="100"/>
      <c r="I4" t="s">
        <v>112</v>
      </c>
      <c r="J4" t="s">
        <v>113</v>
      </c>
    </row>
    <row r="5" spans="1:18">
      <c r="I5">
        <v>26000</v>
      </c>
      <c r="J5">
        <v>10</v>
      </c>
      <c r="K5">
        <f>I5*J5</f>
        <v>260000</v>
      </c>
    </row>
    <row r="6" spans="1:18">
      <c r="H6" t="s">
        <v>114</v>
      </c>
      <c r="K6">
        <v>300000</v>
      </c>
    </row>
    <row r="7" spans="1:18">
      <c r="K7">
        <f>K6-K5</f>
        <v>40000</v>
      </c>
    </row>
    <row r="9" spans="1:18" ht="18.75">
      <c r="A9" s="90" t="s">
        <v>284</v>
      </c>
      <c r="B9" s="90"/>
      <c r="C9" s="90"/>
      <c r="D9" s="90"/>
      <c r="E9" s="90"/>
      <c r="G9" s="90" t="s">
        <v>285</v>
      </c>
      <c r="H9" s="90"/>
      <c r="I9" s="90"/>
      <c r="J9" s="90"/>
      <c r="K9" s="90"/>
      <c r="N9" s="91" t="s">
        <v>7</v>
      </c>
      <c r="O9" s="91"/>
      <c r="P9" s="91"/>
      <c r="Q9" s="91"/>
      <c r="R9" s="91"/>
    </row>
    <row r="10" spans="1:18">
      <c r="A10" s="2" t="s">
        <v>1</v>
      </c>
      <c r="B10" s="3" t="s">
        <v>2</v>
      </c>
      <c r="C10" s="3" t="s">
        <v>3</v>
      </c>
      <c r="D10" s="3" t="s">
        <v>4</v>
      </c>
      <c r="E10" s="4" t="s">
        <v>5</v>
      </c>
      <c r="G10" s="2" t="s">
        <v>1</v>
      </c>
      <c r="H10" s="3" t="s">
        <v>2</v>
      </c>
      <c r="I10" s="3" t="s">
        <v>3</v>
      </c>
      <c r="J10" s="3" t="s">
        <v>4</v>
      </c>
      <c r="K10" s="4" t="s">
        <v>5</v>
      </c>
      <c r="N10" s="2" t="s">
        <v>1</v>
      </c>
      <c r="O10" s="3" t="s">
        <v>2</v>
      </c>
      <c r="P10" s="3" t="s">
        <v>3</v>
      </c>
      <c r="Q10" s="3" t="s">
        <v>4</v>
      </c>
      <c r="R10" s="4" t="s">
        <v>5</v>
      </c>
    </row>
    <row r="11" spans="1:18">
      <c r="A11" s="27">
        <v>39814</v>
      </c>
      <c r="B11" t="s">
        <v>8</v>
      </c>
      <c r="D11" s="21">
        <f>300*100</f>
        <v>30000</v>
      </c>
      <c r="G11" s="27">
        <v>39814</v>
      </c>
      <c r="H11" t="s">
        <v>8</v>
      </c>
      <c r="J11" s="21">
        <f>300*100</f>
        <v>30000</v>
      </c>
      <c r="Q11" s="21"/>
    </row>
    <row r="12" spans="1:18">
      <c r="B12" t="s">
        <v>290</v>
      </c>
      <c r="D12" s="21"/>
      <c r="E12" s="21">
        <f>300*100</f>
        <v>30000</v>
      </c>
      <c r="H12" t="s">
        <v>290</v>
      </c>
      <c r="J12" s="21"/>
      <c r="K12" s="21">
        <f>300*100</f>
        <v>30000</v>
      </c>
      <c r="O12" t="s">
        <v>107</v>
      </c>
      <c r="Q12" s="21">
        <v>130000</v>
      </c>
    </row>
    <row r="13" spans="1:18">
      <c r="D13" s="21"/>
      <c r="J13" s="21"/>
      <c r="O13" t="s">
        <v>106</v>
      </c>
      <c r="Q13" s="21">
        <v>240000</v>
      </c>
    </row>
    <row r="14" spans="1:18">
      <c r="B14" s="1" t="s">
        <v>291</v>
      </c>
      <c r="D14" s="21"/>
      <c r="H14" s="1" t="s">
        <v>291</v>
      </c>
      <c r="J14" s="21"/>
      <c r="O14" t="s">
        <v>108</v>
      </c>
      <c r="Q14" s="21">
        <v>80000</v>
      </c>
    </row>
    <row r="15" spans="1:18">
      <c r="A15" s="27">
        <v>40178</v>
      </c>
      <c r="B15" t="s">
        <v>292</v>
      </c>
      <c r="D15">
        <f>30000*12/100</f>
        <v>3600</v>
      </c>
      <c r="E15" s="21"/>
      <c r="G15" s="27">
        <v>40178</v>
      </c>
      <c r="H15" t="s">
        <v>292</v>
      </c>
      <c r="J15">
        <f>30000*12/100</f>
        <v>3600</v>
      </c>
      <c r="K15" s="21"/>
      <c r="O15" t="s">
        <v>109</v>
      </c>
      <c r="R15" s="21">
        <v>180000</v>
      </c>
    </row>
    <row r="16" spans="1:18">
      <c r="B16" t="s">
        <v>293</v>
      </c>
      <c r="E16">
        <f>30000*12/100</f>
        <v>3600</v>
      </c>
      <c r="H16" t="s">
        <v>293</v>
      </c>
      <c r="K16">
        <f>30000*12/100</f>
        <v>3600</v>
      </c>
      <c r="O16" t="s">
        <v>110</v>
      </c>
      <c r="R16" s="21">
        <v>300000</v>
      </c>
    </row>
    <row r="17" spans="1:18">
      <c r="O17" s="1" t="s">
        <v>111</v>
      </c>
    </row>
    <row r="18" spans="1:18">
      <c r="B18" s="10" t="s">
        <v>294</v>
      </c>
      <c r="H18" s="10" t="s">
        <v>294</v>
      </c>
    </row>
    <row r="19" spans="1:18">
      <c r="D19" s="21"/>
      <c r="E19" s="21"/>
      <c r="J19" s="21"/>
      <c r="K19" s="21"/>
      <c r="O19" t="s">
        <v>115</v>
      </c>
      <c r="Q19" s="21">
        <v>300000</v>
      </c>
    </row>
    <row r="20" spans="1:18">
      <c r="B20" t="s">
        <v>296</v>
      </c>
      <c r="D20" s="21"/>
      <c r="H20" t="s">
        <v>296</v>
      </c>
      <c r="J20" s="21"/>
      <c r="O20" t="s">
        <v>7</v>
      </c>
      <c r="Q20">
        <v>20000</v>
      </c>
    </row>
    <row r="21" spans="1:18">
      <c r="B21" t="s">
        <v>295</v>
      </c>
      <c r="D21">
        <f>30000*12/100</f>
        <v>3600</v>
      </c>
      <c r="E21" s="21"/>
      <c r="H21" t="s">
        <v>295</v>
      </c>
      <c r="J21">
        <f>30000*12/100</f>
        <v>3600</v>
      </c>
      <c r="K21" s="21"/>
      <c r="O21" t="s">
        <v>116</v>
      </c>
      <c r="R21">
        <v>320000</v>
      </c>
    </row>
    <row r="22" spans="1:18">
      <c r="B22" s="20"/>
      <c r="E22">
        <f>30000*12/100</f>
        <v>3600</v>
      </c>
      <c r="H22" s="50"/>
      <c r="K22">
        <f>30000*12/100</f>
        <v>3600</v>
      </c>
    </row>
    <row r="23" spans="1:18">
      <c r="B23" s="1" t="s">
        <v>297</v>
      </c>
      <c r="H23" s="1" t="s">
        <v>297</v>
      </c>
      <c r="O23" s="20" t="s">
        <v>117</v>
      </c>
    </row>
    <row r="24" spans="1:18">
      <c r="B24" s="1"/>
    </row>
    <row r="25" spans="1:18">
      <c r="A25" s="27">
        <v>40178</v>
      </c>
      <c r="B25" t="s">
        <v>296</v>
      </c>
      <c r="D25">
        <v>15000</v>
      </c>
    </row>
    <row r="26" spans="1:18">
      <c r="B26" t="s">
        <v>286</v>
      </c>
      <c r="E26">
        <v>15000</v>
      </c>
      <c r="H26" t="s">
        <v>287</v>
      </c>
      <c r="J26">
        <f>150*100</f>
        <v>15000</v>
      </c>
    </row>
    <row r="27" spans="1:18">
      <c r="H27" t="s">
        <v>288</v>
      </c>
      <c r="K27">
        <f>150*96</f>
        <v>14400</v>
      </c>
    </row>
    <row r="28" spans="1:18">
      <c r="B28" s="1" t="s">
        <v>298</v>
      </c>
      <c r="H28" t="s">
        <v>299</v>
      </c>
      <c r="K28">
        <f>4*150</f>
        <v>600</v>
      </c>
    </row>
    <row r="29" spans="1:18">
      <c r="A29" s="27">
        <v>40178</v>
      </c>
      <c r="B29" t="s">
        <v>287</v>
      </c>
      <c r="D29">
        <f>150*100</f>
        <v>15000</v>
      </c>
      <c r="H29" s="1" t="s">
        <v>289</v>
      </c>
    </row>
    <row r="30" spans="1:18">
      <c r="B30" t="s">
        <v>288</v>
      </c>
      <c r="E30">
        <f>150*96</f>
        <v>14400</v>
      </c>
    </row>
    <row r="31" spans="1:18">
      <c r="B31" t="s">
        <v>299</v>
      </c>
      <c r="E31">
        <f>4*150</f>
        <v>600</v>
      </c>
      <c r="G31" s="27">
        <v>40543</v>
      </c>
      <c r="H31" t="s">
        <v>292</v>
      </c>
      <c r="J31">
        <f>15000*12/100</f>
        <v>1800</v>
      </c>
    </row>
    <row r="32" spans="1:18">
      <c r="B32" s="1" t="s">
        <v>289</v>
      </c>
      <c r="H32" t="s">
        <v>293</v>
      </c>
      <c r="K32">
        <f>15000*12/100</f>
        <v>1800</v>
      </c>
    </row>
    <row r="33" spans="1:11">
      <c r="A33" s="27">
        <v>40543</v>
      </c>
      <c r="B33" t="s">
        <v>292</v>
      </c>
      <c r="D33">
        <f>15000*12/100</f>
        <v>1800</v>
      </c>
    </row>
    <row r="34" spans="1:11">
      <c r="B34" t="s">
        <v>293</v>
      </c>
      <c r="E34">
        <f>15000*12/100</f>
        <v>1800</v>
      </c>
      <c r="H34" s="10" t="s">
        <v>300</v>
      </c>
    </row>
    <row r="36" spans="1:11">
      <c r="B36" s="10" t="s">
        <v>300</v>
      </c>
      <c r="G36" s="27">
        <v>40543</v>
      </c>
      <c r="H36" t="s">
        <v>296</v>
      </c>
      <c r="J36">
        <f>15000*12/100</f>
        <v>1800</v>
      </c>
    </row>
    <row r="37" spans="1:11">
      <c r="H37" t="s">
        <v>295</v>
      </c>
      <c r="K37">
        <f>15000*12/100</f>
        <v>1800</v>
      </c>
    </row>
    <row r="38" spans="1:11">
      <c r="A38" s="27">
        <v>40543</v>
      </c>
      <c r="B38" t="s">
        <v>296</v>
      </c>
      <c r="D38">
        <f>15000*12/100</f>
        <v>1800</v>
      </c>
      <c r="H38" s="50"/>
    </row>
    <row r="39" spans="1:11">
      <c r="B39" t="s">
        <v>295</v>
      </c>
      <c r="E39">
        <f>15000*12/100</f>
        <v>1800</v>
      </c>
      <c r="H39" s="1" t="s">
        <v>298</v>
      </c>
    </row>
    <row r="40" spans="1:11">
      <c r="B40" s="50"/>
    </row>
    <row r="41" spans="1:11">
      <c r="B41" s="1" t="s">
        <v>297</v>
      </c>
      <c r="H41" s="16" t="s">
        <v>287</v>
      </c>
      <c r="I41" s="16"/>
      <c r="J41" s="16">
        <f>150*100</f>
        <v>15000</v>
      </c>
      <c r="K41" s="16"/>
    </row>
    <row r="42" spans="1:11">
      <c r="H42" s="16" t="s">
        <v>288</v>
      </c>
      <c r="I42" s="16"/>
      <c r="J42" s="16"/>
      <c r="K42" s="16">
        <f>150*100</f>
        <v>15000</v>
      </c>
    </row>
    <row r="43" spans="1:11">
      <c r="A43" s="27">
        <v>40543</v>
      </c>
      <c r="B43" t="s">
        <v>296</v>
      </c>
      <c r="D43">
        <v>15000</v>
      </c>
      <c r="H43" s="16"/>
      <c r="I43" s="16"/>
      <c r="J43" s="16"/>
      <c r="K43" s="16"/>
    </row>
    <row r="44" spans="1:11">
      <c r="B44" t="s">
        <v>286</v>
      </c>
      <c r="E44">
        <v>15000</v>
      </c>
      <c r="H44" s="1" t="s">
        <v>289</v>
      </c>
    </row>
    <row r="46" spans="1:11">
      <c r="B46" s="1" t="s">
        <v>298</v>
      </c>
    </row>
    <row r="47" spans="1:11">
      <c r="B47" t="s">
        <v>287</v>
      </c>
      <c r="D47">
        <f>150*100</f>
        <v>15000</v>
      </c>
    </row>
    <row r="48" spans="1:11">
      <c r="B48" t="s">
        <v>288</v>
      </c>
      <c r="E48">
        <f>150*100</f>
        <v>15000</v>
      </c>
    </row>
    <row r="50" spans="2:2">
      <c r="B50" s="1" t="s">
        <v>289</v>
      </c>
    </row>
  </sheetData>
  <mergeCells count="4">
    <mergeCell ref="A9:E9"/>
    <mergeCell ref="G9:K9"/>
    <mergeCell ref="N9:R9"/>
    <mergeCell ref="A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R48"/>
  <sheetViews>
    <sheetView topLeftCell="A10" workbookViewId="0">
      <selection activeCell="A10" sqref="A1:XFD1048576"/>
    </sheetView>
  </sheetViews>
  <sheetFormatPr defaultRowHeight="15"/>
  <cols>
    <col min="1" max="1" width="9.7109375" bestFit="1" customWidth="1"/>
    <col min="2" max="2" width="38.28515625" customWidth="1"/>
    <col min="8" max="8" width="23.85546875" customWidth="1"/>
    <col min="15" max="15" width="26.140625" customWidth="1"/>
  </cols>
  <sheetData>
    <row r="3" spans="1:18" ht="18.75">
      <c r="A3" s="90" t="s">
        <v>120</v>
      </c>
      <c r="B3" s="90"/>
      <c r="C3" s="90"/>
      <c r="D3" s="90"/>
      <c r="E3" s="90"/>
      <c r="G3" s="91" t="s">
        <v>119</v>
      </c>
      <c r="H3" s="91"/>
      <c r="I3" s="91"/>
      <c r="J3" s="91"/>
      <c r="K3" s="91"/>
      <c r="N3" s="92" t="s">
        <v>118</v>
      </c>
      <c r="O3" s="92"/>
      <c r="P3" s="92"/>
      <c r="Q3" s="92"/>
      <c r="R3" s="92"/>
    </row>
    <row r="4" spans="1:18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G4" s="2" t="s">
        <v>1</v>
      </c>
      <c r="H4" s="3" t="s">
        <v>2</v>
      </c>
      <c r="I4" s="3" t="s">
        <v>3</v>
      </c>
      <c r="J4" s="3" t="s">
        <v>4</v>
      </c>
      <c r="K4" s="4" t="s">
        <v>5</v>
      </c>
      <c r="N4" s="2" t="s">
        <v>1</v>
      </c>
      <c r="O4" s="3" t="s">
        <v>2</v>
      </c>
      <c r="P4" s="3" t="s">
        <v>3</v>
      </c>
      <c r="Q4" s="3" t="s">
        <v>4</v>
      </c>
      <c r="R4" s="4" t="s">
        <v>5</v>
      </c>
    </row>
    <row r="5" spans="1:18">
      <c r="A5" s="27">
        <v>40179</v>
      </c>
      <c r="B5" t="s">
        <v>268</v>
      </c>
      <c r="D5" s="21">
        <v>500000</v>
      </c>
      <c r="H5" t="s">
        <v>24</v>
      </c>
      <c r="O5" t="s">
        <v>24</v>
      </c>
    </row>
    <row r="6" spans="1:18">
      <c r="B6" t="s">
        <v>272</v>
      </c>
      <c r="E6" s="21">
        <v>500000</v>
      </c>
      <c r="H6" t="s">
        <v>124</v>
      </c>
      <c r="O6" t="s">
        <v>123</v>
      </c>
    </row>
    <row r="7" spans="1:18">
      <c r="H7" t="s">
        <v>122</v>
      </c>
      <c r="O7" t="s">
        <v>121</v>
      </c>
    </row>
    <row r="8" spans="1:18">
      <c r="B8" s="1" t="s">
        <v>273</v>
      </c>
    </row>
    <row r="9" spans="1:18">
      <c r="A9" s="27"/>
    </row>
    <row r="10" spans="1:18">
      <c r="A10" s="27">
        <v>40359</v>
      </c>
      <c r="B10" t="s">
        <v>266</v>
      </c>
      <c r="D10">
        <f>60000/2</f>
        <v>30000</v>
      </c>
    </row>
    <row r="11" spans="1:18">
      <c r="B11" t="s">
        <v>251</v>
      </c>
      <c r="E11">
        <f>60000/2</f>
        <v>30000</v>
      </c>
    </row>
    <row r="12" spans="1:18">
      <c r="B12" s="1"/>
    </row>
    <row r="13" spans="1:18">
      <c r="B13" s="1" t="s">
        <v>267</v>
      </c>
    </row>
    <row r="16" spans="1:18">
      <c r="A16" s="27">
        <v>40360</v>
      </c>
      <c r="B16" t="s">
        <v>274</v>
      </c>
      <c r="D16">
        <v>50000</v>
      </c>
    </row>
    <row r="17" spans="1:5">
      <c r="B17" t="s">
        <v>275</v>
      </c>
      <c r="E17">
        <v>50000</v>
      </c>
    </row>
    <row r="19" spans="1:5">
      <c r="B19" s="1" t="s">
        <v>271</v>
      </c>
    </row>
    <row r="21" spans="1:5">
      <c r="A21" s="27">
        <v>40543</v>
      </c>
      <c r="B21" t="s">
        <v>266</v>
      </c>
      <c r="D21">
        <v>30000</v>
      </c>
    </row>
    <row r="22" spans="1:5">
      <c r="B22" t="s">
        <v>251</v>
      </c>
      <c r="E22">
        <v>27000</v>
      </c>
    </row>
    <row r="23" spans="1:5">
      <c r="B23" s="1" t="s">
        <v>281</v>
      </c>
      <c r="E23" s="1">
        <v>3000</v>
      </c>
    </row>
    <row r="24" spans="1:5">
      <c r="B24" s="1" t="s">
        <v>267</v>
      </c>
    </row>
    <row r="26" spans="1:5">
      <c r="A26" s="27">
        <v>40543</v>
      </c>
      <c r="B26" t="s">
        <v>279</v>
      </c>
      <c r="D26">
        <v>60000</v>
      </c>
    </row>
    <row r="27" spans="1:5">
      <c r="B27" t="s">
        <v>280</v>
      </c>
      <c r="E27">
        <v>60000</v>
      </c>
    </row>
    <row r="29" spans="1:5">
      <c r="B29" t="s">
        <v>282</v>
      </c>
      <c r="D29">
        <v>3000</v>
      </c>
    </row>
    <row r="30" spans="1:5">
      <c r="B30" t="s">
        <v>283</v>
      </c>
      <c r="E30">
        <v>3000</v>
      </c>
    </row>
    <row r="31" spans="1:5">
      <c r="B31" s="1"/>
    </row>
    <row r="34" spans="1:6">
      <c r="B34" t="s">
        <v>276</v>
      </c>
      <c r="C34" t="s">
        <v>277</v>
      </c>
      <c r="D34" t="s">
        <v>278</v>
      </c>
    </row>
    <row r="35" spans="1:6">
      <c r="A35">
        <v>500000</v>
      </c>
      <c r="B35">
        <f>500000*12/100</f>
        <v>60000</v>
      </c>
      <c r="C35">
        <f>B35/2</f>
        <v>30000</v>
      </c>
      <c r="D35">
        <v>30000</v>
      </c>
    </row>
    <row r="36" spans="1:6">
      <c r="A36">
        <v>450000</v>
      </c>
      <c r="B36">
        <f>450000*12/100</f>
        <v>54000</v>
      </c>
      <c r="D36">
        <f>B36/2</f>
        <v>27000</v>
      </c>
    </row>
    <row r="37" spans="1:6">
      <c r="B37" s="1"/>
    </row>
    <row r="38" spans="1:6">
      <c r="B38" s="27">
        <v>40543</v>
      </c>
      <c r="C38" t="s">
        <v>266</v>
      </c>
      <c r="E38">
        <v>50000</v>
      </c>
    </row>
    <row r="39" spans="1:6">
      <c r="C39" t="s">
        <v>251</v>
      </c>
      <c r="F39">
        <v>50000</v>
      </c>
    </row>
    <row r="41" spans="1:6">
      <c r="C41" s="1" t="s">
        <v>267</v>
      </c>
    </row>
    <row r="45" spans="1:6">
      <c r="B45" s="27">
        <v>40543</v>
      </c>
      <c r="C45" t="s">
        <v>269</v>
      </c>
      <c r="E45">
        <v>50000</v>
      </c>
    </row>
    <row r="46" spans="1:6">
      <c r="C46" t="s">
        <v>253</v>
      </c>
      <c r="F46">
        <v>50000</v>
      </c>
    </row>
    <row r="48" spans="1:6">
      <c r="C48" s="1" t="s">
        <v>270</v>
      </c>
    </row>
  </sheetData>
  <mergeCells count="3">
    <mergeCell ref="A3:E3"/>
    <mergeCell ref="G3:K3"/>
    <mergeCell ref="N3:R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Sheet2</vt:lpstr>
      <vt:lpstr>Illustration 6</vt:lpstr>
      <vt:lpstr>Sheet3</vt:lpstr>
      <vt:lpstr>Sheet4</vt:lpstr>
      <vt:lpstr>Sheet5</vt:lpstr>
      <vt:lpstr>3rd BBA</vt:lpstr>
      <vt:lpstr>redumption </vt:lpstr>
      <vt:lpstr>b.COM</vt:lpstr>
      <vt:lpstr>Accounting equation</vt:lpstr>
      <vt:lpstr>Accounting equation p</vt:lpstr>
      <vt:lpstr>Sheet6</vt:lpstr>
      <vt:lpstr>Sheet7</vt:lpstr>
      <vt:lpstr>PArtnership</vt:lpstr>
      <vt:lpstr>Sheet8</vt:lpstr>
      <vt:lpstr>JOURNAL</vt:lpstr>
      <vt:lpstr>j p-2</vt:lpstr>
      <vt:lpstr>ledger</vt:lpstr>
      <vt:lpstr>Trial balace</vt:lpstr>
      <vt:lpstr>Sheet9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2020-12-22T15:10:26Z</dcterms:modified>
</cp:coreProperties>
</file>