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9" activeTab="11"/>
  </bookViews>
  <sheets>
    <sheet name="Price Weighted Index" sheetId="1" r:id="rId1"/>
    <sheet name="Description" sheetId="2" r:id="rId2"/>
    <sheet name="Value Weighted Index" sheetId="3" r:id="rId3"/>
    <sheet name="Equal Weighted Index" sheetId="4" r:id="rId4"/>
    <sheet name="Q. 4.1" sheetId="5" r:id="rId5"/>
    <sheet name="q4.2" sheetId="6" r:id="rId6"/>
    <sheet name="Q 4.3" sheetId="7" r:id="rId7"/>
    <sheet name="Comp prob 4.2" sheetId="8" r:id="rId8"/>
    <sheet name="Comp prob 4.1" sheetId="9" r:id="rId9"/>
    <sheet name="Risk and Return" sheetId="10" r:id="rId10"/>
    <sheet name="Return &amp; Risk 1" sheetId="11" r:id="rId11"/>
    <sheet name="Risk &amp; Returns 2" sheetId="12" r:id="rId12"/>
    <sheet name="Sheet1" sheetId="13" r:id="rId13"/>
  </sheets>
  <calcPr calcId="125725"/>
</workbook>
</file>

<file path=xl/calcChain.xml><?xml version="1.0" encoding="utf-8"?>
<calcChain xmlns="http://schemas.openxmlformats.org/spreadsheetml/2006/main">
  <c r="E31" i="12"/>
  <c r="E29"/>
  <c r="F21"/>
  <c r="E4"/>
  <c r="D14"/>
  <c r="D16"/>
  <c r="E5"/>
  <c r="E6"/>
  <c r="E7"/>
  <c r="E8"/>
  <c r="F8" s="1"/>
  <c r="E9"/>
  <c r="E10"/>
  <c r="F4"/>
  <c r="F5"/>
  <c r="F6"/>
  <c r="F7"/>
  <c r="F9"/>
  <c r="F10"/>
  <c r="H82" i="11"/>
  <c r="H79"/>
  <c r="H78"/>
  <c r="G79"/>
  <c r="G78"/>
  <c r="D11" i="12"/>
  <c r="D5"/>
  <c r="D6"/>
  <c r="D7"/>
  <c r="D8"/>
  <c r="D9"/>
  <c r="D10"/>
  <c r="D4"/>
  <c r="C4"/>
  <c r="C5"/>
  <c r="C6"/>
  <c r="C7"/>
  <c r="C8"/>
  <c r="C9"/>
  <c r="C10"/>
  <c r="E57" i="11"/>
  <c r="E67"/>
  <c r="F41"/>
  <c r="J15"/>
  <c r="G39"/>
  <c r="G14"/>
  <c r="E48" i="9"/>
  <c r="F31"/>
  <c r="D19" i="8"/>
  <c r="C17"/>
  <c r="H11"/>
  <c r="G11"/>
  <c r="C11" i="7"/>
  <c r="C8"/>
  <c r="K21" i="6"/>
  <c r="H15"/>
  <c r="H13"/>
  <c r="H12"/>
  <c r="H11"/>
  <c r="D15"/>
  <c r="D13"/>
  <c r="D12"/>
  <c r="D11"/>
  <c r="C21" i="5"/>
  <c r="C18"/>
  <c r="C75" i="4"/>
  <c r="C74"/>
  <c r="C73"/>
  <c r="C72"/>
  <c r="C71"/>
  <c r="L58"/>
  <c r="L59"/>
  <c r="L60"/>
  <c r="L57"/>
  <c r="L56"/>
  <c r="J60"/>
  <c r="J59"/>
  <c r="J58"/>
  <c r="J57"/>
  <c r="I59"/>
  <c r="I58"/>
  <c r="I57"/>
  <c r="I56"/>
  <c r="G60"/>
  <c r="G59"/>
  <c r="G58"/>
  <c r="G57"/>
  <c r="F56"/>
  <c r="D60"/>
  <c r="D59"/>
  <c r="D58"/>
  <c r="D57"/>
  <c r="C57"/>
  <c r="C58"/>
  <c r="C59"/>
  <c r="C60"/>
  <c r="C56"/>
  <c r="C47"/>
  <c r="C46"/>
  <c r="C45"/>
  <c r="C44"/>
  <c r="C43"/>
  <c r="L32"/>
  <c r="L31"/>
  <c r="L30"/>
  <c r="L29"/>
  <c r="L28"/>
  <c r="J32"/>
  <c r="J31"/>
  <c r="J30"/>
  <c r="J29"/>
  <c r="G32"/>
  <c r="G31"/>
  <c r="G30"/>
  <c r="G29"/>
  <c r="D32"/>
  <c r="D31"/>
  <c r="D30"/>
  <c r="D29"/>
  <c r="C40" i="3"/>
  <c r="C39"/>
  <c r="C38"/>
  <c r="C37"/>
  <c r="C36"/>
  <c r="L27"/>
  <c r="L26"/>
  <c r="L25"/>
  <c r="L24"/>
  <c r="L23"/>
  <c r="J27"/>
  <c r="J26"/>
  <c r="J25"/>
  <c r="J24"/>
  <c r="J23"/>
  <c r="G27"/>
  <c r="G26"/>
  <c r="G25"/>
  <c r="G24"/>
  <c r="G23"/>
  <c r="D26"/>
  <c r="D25"/>
  <c r="D24"/>
  <c r="D23"/>
  <c r="G56" i="1"/>
  <c r="F56"/>
  <c r="E61"/>
  <c r="E56"/>
  <c r="D56"/>
  <c r="C61"/>
  <c r="C56"/>
  <c r="G42"/>
  <c r="F42"/>
  <c r="E44"/>
  <c r="E42"/>
  <c r="D44"/>
  <c r="D42"/>
  <c r="C42"/>
  <c r="G26"/>
  <c r="F31"/>
  <c r="E31"/>
  <c r="F26"/>
  <c r="E26"/>
  <c r="D26"/>
  <c r="C26"/>
  <c r="C23" i="4"/>
  <c r="C22"/>
  <c r="C21"/>
  <c r="C20"/>
  <c r="C19"/>
  <c r="L4"/>
  <c r="J8"/>
  <c r="I5"/>
  <c r="J5" s="1"/>
  <c r="I6"/>
  <c r="I7" s="1"/>
  <c r="J7" s="1"/>
  <c r="G7"/>
  <c r="F7"/>
  <c r="F8"/>
  <c r="G8" s="1"/>
  <c r="F6"/>
  <c r="G6" s="1"/>
  <c r="F5"/>
  <c r="G5" s="1"/>
  <c r="D7"/>
  <c r="L7" s="1"/>
  <c r="D5"/>
  <c r="C5"/>
  <c r="C6"/>
  <c r="D6" s="1"/>
  <c r="C7"/>
  <c r="C8"/>
  <c r="D8" s="1"/>
  <c r="L8" s="1"/>
  <c r="I4"/>
  <c r="F4"/>
  <c r="C4"/>
  <c r="D17" i="3"/>
  <c r="D16"/>
  <c r="D15"/>
  <c r="D14"/>
  <c r="D13"/>
  <c r="L8"/>
  <c r="L7"/>
  <c r="L6"/>
  <c r="L5"/>
  <c r="L4"/>
  <c r="J8"/>
  <c r="J7"/>
  <c r="J6"/>
  <c r="J5"/>
  <c r="J4"/>
  <c r="G8"/>
  <c r="G7"/>
  <c r="G6"/>
  <c r="G5"/>
  <c r="G4"/>
  <c r="D8"/>
  <c r="D7"/>
  <c r="D6"/>
  <c r="D5"/>
  <c r="D4"/>
  <c r="D13" i="1"/>
  <c r="G8"/>
  <c r="F8"/>
  <c r="E13"/>
  <c r="E8"/>
  <c r="D8"/>
  <c r="C8"/>
  <c r="F11" i="12" l="1"/>
  <c r="F14" s="1"/>
  <c r="J16" s="1"/>
  <c r="L5" i="4"/>
  <c r="J6"/>
  <c r="L6" s="1"/>
</calcChain>
</file>

<file path=xl/sharedStrings.xml><?xml version="1.0" encoding="utf-8"?>
<sst xmlns="http://schemas.openxmlformats.org/spreadsheetml/2006/main" count="425" uniqueCount="212">
  <si>
    <t>A</t>
  </si>
  <si>
    <t>B</t>
  </si>
  <si>
    <t>C</t>
  </si>
  <si>
    <t>Day 1</t>
  </si>
  <si>
    <t>Day2</t>
  </si>
  <si>
    <t>Day3</t>
  </si>
  <si>
    <t>Day4</t>
  </si>
  <si>
    <t>Day5</t>
  </si>
  <si>
    <t>stock B has reverse split (one for two) on day 3</t>
  </si>
  <si>
    <t>New Divisor</t>
  </si>
  <si>
    <t>Stock C has stock split (two for one) on day 4</t>
  </si>
  <si>
    <t>Stock Market Indices</t>
  </si>
  <si>
    <t>Price Weighted Index</t>
  </si>
  <si>
    <t>Value Weighted Index</t>
  </si>
  <si>
    <t>Equally Weighted Index</t>
  </si>
  <si>
    <t xml:space="preserve">Compaines </t>
  </si>
  <si>
    <t>It is simply average price of the comapanies in the index</t>
  </si>
  <si>
    <t># of Shares</t>
  </si>
  <si>
    <t>Market Cap A</t>
  </si>
  <si>
    <t>Market Cap B</t>
  </si>
  <si>
    <t>Market Cap C</t>
  </si>
  <si>
    <t>Market Capitlaization</t>
  </si>
  <si>
    <t>MPS * Number of Shares</t>
  </si>
  <si>
    <t>Overall Market Cap</t>
  </si>
  <si>
    <t>VW Index</t>
  </si>
  <si>
    <t>(Overall Market Cap/Base)*index</t>
  </si>
  <si>
    <t>Equal Weighted Index</t>
  </si>
  <si>
    <t>Question 2</t>
  </si>
  <si>
    <t>Question 1</t>
  </si>
  <si>
    <t>D</t>
  </si>
  <si>
    <t>52*</t>
  </si>
  <si>
    <t>37*</t>
  </si>
  <si>
    <t>stock B has stock split (two for one) on day 4</t>
  </si>
  <si>
    <t>Stock C has reverse stock split (one for two) on day 5</t>
  </si>
  <si>
    <t>PWI</t>
  </si>
  <si>
    <t>SUM OF PRICES/DIVISOR</t>
  </si>
  <si>
    <t>36*</t>
  </si>
  <si>
    <t>stock A has stock split (two for one) on day 3</t>
  </si>
  <si>
    <t>20*</t>
  </si>
  <si>
    <t>Stock B has reverse stock split (one for three) on day 4</t>
  </si>
  <si>
    <t>Question 3</t>
  </si>
  <si>
    <t>Question 5</t>
  </si>
  <si>
    <t>16*</t>
  </si>
  <si>
    <t>stock B has reverse stock split (one for three) on day 2</t>
  </si>
  <si>
    <t>62*</t>
  </si>
  <si>
    <t>Question No. 1</t>
  </si>
  <si>
    <t>Question No. 2</t>
  </si>
  <si>
    <t>25*</t>
  </si>
  <si>
    <t>60*</t>
  </si>
  <si>
    <t>stock B has reverse stock split (one for two) on day 3</t>
  </si>
  <si>
    <t>Use benchmark of 1000</t>
  </si>
  <si>
    <t>Days</t>
  </si>
  <si>
    <t>VWI</t>
  </si>
  <si>
    <t xml:space="preserve"> (Overall Market Capitalization/Base)*1000</t>
  </si>
  <si>
    <t>18*</t>
  </si>
  <si>
    <t>42*</t>
  </si>
  <si>
    <t>stock A has reverse stock split (one for two) on day 4</t>
  </si>
  <si>
    <t>stock B has  stock split (two for one) on day 3</t>
  </si>
  <si>
    <t>stock C has  stock split (two for one) on day 5</t>
  </si>
  <si>
    <t>Use benchmark of 100</t>
  </si>
  <si>
    <t>D1   100</t>
  </si>
  <si>
    <t>D2    118.98</t>
  </si>
  <si>
    <t>D3     107.40</t>
  </si>
  <si>
    <t>D4    111.574</t>
  </si>
  <si>
    <t>D5     121.75</t>
  </si>
  <si>
    <t>12*</t>
  </si>
  <si>
    <t>Question No. 3</t>
  </si>
  <si>
    <t>stock B has Stock split (two for one) on day 3</t>
  </si>
  <si>
    <t>Sum of Market Price Per share/Divisor</t>
  </si>
  <si>
    <t>1500/15</t>
  </si>
  <si>
    <t>Additional Information: Out of these 15 stocks, one company with an average price of 100$ had two for one stock split</t>
  </si>
  <si>
    <t>a) What will happen to your PWI, if no change to divisor is made?</t>
  </si>
  <si>
    <t xml:space="preserve">b) What does the new divisor have to be to keep the value of index unchanged? </t>
  </si>
  <si>
    <t>a)</t>
  </si>
  <si>
    <t>b)</t>
  </si>
  <si>
    <t>c)</t>
  </si>
  <si>
    <t>d)</t>
  </si>
  <si>
    <t xml:space="preserve">Stocks </t>
  </si>
  <si>
    <t>J</t>
  </si>
  <si>
    <t>K</t>
  </si>
  <si>
    <t>L</t>
  </si>
  <si>
    <t>Day 2</t>
  </si>
  <si>
    <t>Price</t>
  </si>
  <si>
    <t># shares</t>
  </si>
  <si>
    <t>Market Cap</t>
  </si>
  <si>
    <t>6000*</t>
  </si>
  <si>
    <t>Company K has two for one stock split</t>
  </si>
  <si>
    <t xml:space="preserve">Use Benchmark/base index =100 </t>
  </si>
  <si>
    <t xml:space="preserve">Value Weighted Index </t>
  </si>
  <si>
    <t>(Overall Market capitalization/Base)*100</t>
  </si>
  <si>
    <t xml:space="preserve">Market Capitalization </t>
  </si>
  <si>
    <t>MPS*Number of shares</t>
  </si>
  <si>
    <t>Assume that you have a stock currently priced at $56 that moves exactly proportional to the</t>
  </si>
  <si>
    <t>S&amp;P 500 Index. Over a six-month period the index moves from 1,110 to 1,243.20. What</t>
  </si>
  <si>
    <t>should the price of your stock be?</t>
  </si>
  <si>
    <t>Ending Value/Beg Value</t>
  </si>
  <si>
    <t>return relative</t>
  </si>
  <si>
    <t>56*1.12</t>
  </si>
  <si>
    <t>=</t>
  </si>
  <si>
    <t>DJIA</t>
  </si>
  <si>
    <t>S&amp; P</t>
  </si>
  <si>
    <t>1,265.32.</t>
  </si>
  <si>
    <t>S&amp;P 500</t>
  </si>
  <si>
    <t>Ending value/Beg value</t>
  </si>
  <si>
    <t>return</t>
  </si>
  <si>
    <t>(Ending value/Beg value)-1</t>
  </si>
  <si>
    <t>or</t>
  </si>
  <si>
    <t>(End Value -Beg Value)/Beg value</t>
  </si>
  <si>
    <t xml:space="preserve">b) </t>
  </si>
  <si>
    <t>Suppose s&amp;P index declined by 9 percent from 1265.32. What would be its new level?</t>
  </si>
  <si>
    <t>Assume that the DJIA closed at 10,875 one day recently, and the divisor was .12493117</t>
  </si>
  <si>
    <t>a. What is the sum of the prices of the 30 stocks in the index, given this information?</t>
  </si>
  <si>
    <t>PwI</t>
  </si>
  <si>
    <t xml:space="preserve">sum of prices/divisor </t>
  </si>
  <si>
    <t>sum of prices/.12493117</t>
  </si>
  <si>
    <t>Sum of Prices</t>
  </si>
  <si>
    <t xml:space="preserve">b. </t>
  </si>
  <si>
    <t>Assume that one stock in the index, Pfizer, moved $4.40 that day, while the index itself</t>
  </si>
  <si>
    <t>moved about 105 points (to close at 10,875). What percentage of the total movement in</t>
  </si>
  <si>
    <t>the DJIA that day was accounted for by the movement in Pfizer?</t>
  </si>
  <si>
    <t>One company that day had 4.4$ price change whereas index changed by 105 points in total</t>
  </si>
  <si>
    <t>8 times</t>
  </si>
  <si>
    <t>4.40 * 8</t>
  </si>
  <si>
    <t>10875/1358</t>
  </si>
  <si>
    <t xml:space="preserve">variation in index due to variation in price of that company </t>
  </si>
  <si>
    <t>Now assume that one of the 30 stocks had a 2-for-1 stock split that day, declining from</t>
  </si>
  <si>
    <t>$47.50 to $23.75. What would the new divisor have to be to keep the index unchanged at</t>
  </si>
  <si>
    <t>10,875?</t>
  </si>
  <si>
    <t>(C)</t>
  </si>
  <si>
    <t>Index</t>
  </si>
  <si>
    <t>?</t>
  </si>
  <si>
    <t>Sum of Prices/Index</t>
  </si>
  <si>
    <t>sum of prices/10875</t>
  </si>
  <si>
    <t>1358-23.75</t>
  </si>
  <si>
    <t>change in investment, growth  in investment</t>
  </si>
  <si>
    <t>Return</t>
  </si>
  <si>
    <t xml:space="preserve">For example an intial investment in year 1 worth $ 100 is $110 in year 2. </t>
  </si>
  <si>
    <t>Growth/Change in wealth</t>
  </si>
  <si>
    <t>Intial Investment</t>
  </si>
  <si>
    <t>100 $</t>
  </si>
  <si>
    <t>120 $</t>
  </si>
  <si>
    <t>Change</t>
  </si>
  <si>
    <t>20 $</t>
  </si>
  <si>
    <t>Percange return/change</t>
  </si>
  <si>
    <t>20/100</t>
  </si>
  <si>
    <t>percent</t>
  </si>
  <si>
    <t>Current/ending Value</t>
  </si>
  <si>
    <t>(End value-Beg Value)/Beg Value</t>
  </si>
  <si>
    <t>(120-100)/100</t>
  </si>
  <si>
    <t>return %</t>
  </si>
  <si>
    <t>Example 1</t>
  </si>
  <si>
    <t>Example 2</t>
  </si>
  <si>
    <t>90 $</t>
  </si>
  <si>
    <t>(10) $</t>
  </si>
  <si>
    <t>10/100</t>
  </si>
  <si>
    <t>(90-100)/100</t>
  </si>
  <si>
    <t>Return Relative</t>
  </si>
  <si>
    <t>Ending Value/Beg value</t>
  </si>
  <si>
    <t>120/100</t>
  </si>
  <si>
    <t>eng/beg</t>
  </si>
  <si>
    <t>90/100</t>
  </si>
  <si>
    <t>Return %</t>
  </si>
  <si>
    <t>end value/beg value</t>
  </si>
  <si>
    <t>120-100</t>
  </si>
  <si>
    <t>(end value-Beg value)</t>
  </si>
  <si>
    <t>(end value-Beg value)/beg value</t>
  </si>
  <si>
    <t>20 percent</t>
  </si>
  <si>
    <t>return relative -1</t>
  </si>
  <si>
    <t>1.20-1</t>
  </si>
  <si>
    <t xml:space="preserve">or </t>
  </si>
  <si>
    <t>(end value/beg value)-1</t>
  </si>
  <si>
    <t>(120/100)-1</t>
  </si>
  <si>
    <t xml:space="preserve">0r </t>
  </si>
  <si>
    <t>Suppose Co. paid a dividend of 5 $ during the year</t>
  </si>
  <si>
    <t>(125-100)/100</t>
  </si>
  <si>
    <t>25 percent</t>
  </si>
  <si>
    <t>{(end value-Beg value) + Dividend}/Beg value</t>
  </si>
  <si>
    <t>(Capital Gain + Yield)/intial investment</t>
  </si>
  <si>
    <t>Risk</t>
  </si>
  <si>
    <t>Uncertainity in returns</t>
  </si>
  <si>
    <t>Chances of deviation from expected returns</t>
  </si>
  <si>
    <t>Company A</t>
  </si>
  <si>
    <t xml:space="preserve">Days </t>
  </si>
  <si>
    <t>Day 3</t>
  </si>
  <si>
    <t>Day 4</t>
  </si>
  <si>
    <t>Day 5</t>
  </si>
  <si>
    <t>Day 6</t>
  </si>
  <si>
    <t>Day 7</t>
  </si>
  <si>
    <t>Day 8</t>
  </si>
  <si>
    <t>AM</t>
  </si>
  <si>
    <t>X</t>
  </si>
  <si>
    <t>Sum of X/N</t>
  </si>
  <si>
    <t>Geometric Mean</t>
  </si>
  <si>
    <t>ret. Relative</t>
  </si>
  <si>
    <t>A.M</t>
  </si>
  <si>
    <t>change in wealth</t>
  </si>
  <si>
    <t>[(r.r)(r.r)]^1/n    -1</t>
  </si>
  <si>
    <t>[(2)(.5)]^1/2  -1    =    0</t>
  </si>
  <si>
    <t>Chances of deviation of actual returns from expected returns</t>
  </si>
  <si>
    <t>Deviation from average</t>
  </si>
  <si>
    <t>(X-X*)^2</t>
  </si>
  <si>
    <t>Variance</t>
  </si>
  <si>
    <t>Standard Deviation</t>
  </si>
  <si>
    <t>deviation from standard</t>
  </si>
  <si>
    <r>
      <t>X-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</rPr>
      <t>̄</t>
    </r>
  </si>
  <si>
    <t>X̄</t>
  </si>
  <si>
    <t>Average Return</t>
  </si>
  <si>
    <t>SD</t>
  </si>
  <si>
    <t>Co. A</t>
  </si>
  <si>
    <t>Co. B</t>
  </si>
  <si>
    <t>CV</t>
  </si>
  <si>
    <t>SD/X̄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</si>
</sst>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3" fillId="3" borderId="0" xfId="0" applyFont="1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86" zoomScaleNormal="86" workbookViewId="0">
      <selection activeCell="K8" sqref="K8:O10"/>
    </sheetView>
  </sheetViews>
  <sheetFormatPr defaultRowHeight="15"/>
  <cols>
    <col min="2" max="2" width="23.5703125" bestFit="1" customWidth="1"/>
    <col min="3" max="3" width="14" bestFit="1" customWidth="1"/>
    <col min="4" max="4" width="11.7109375" bestFit="1" customWidth="1"/>
    <col min="5" max="5" width="12" bestFit="1" customWidth="1"/>
    <col min="6" max="7" width="14" bestFit="1" customWidth="1"/>
  </cols>
  <sheetData>
    <row r="1" spans="2:11">
      <c r="B1" s="1" t="s">
        <v>28</v>
      </c>
    </row>
    <row r="3" spans="2:11">
      <c r="B3" t="s">
        <v>15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2:11">
      <c r="B4" t="s">
        <v>0</v>
      </c>
      <c r="C4">
        <v>12</v>
      </c>
      <c r="D4">
        <v>10</v>
      </c>
      <c r="E4">
        <v>14</v>
      </c>
      <c r="F4">
        <v>13</v>
      </c>
      <c r="G4">
        <v>12</v>
      </c>
    </row>
    <row r="5" spans="2:11">
      <c r="B5" t="s">
        <v>1</v>
      </c>
      <c r="C5">
        <v>23</v>
      </c>
      <c r="D5">
        <v>22</v>
      </c>
      <c r="E5">
        <v>46</v>
      </c>
      <c r="F5">
        <v>47</v>
      </c>
      <c r="G5">
        <v>45</v>
      </c>
    </row>
    <row r="6" spans="2:11">
      <c r="B6" t="s">
        <v>2</v>
      </c>
      <c r="C6">
        <v>52</v>
      </c>
      <c r="D6">
        <v>55</v>
      </c>
      <c r="E6">
        <v>52</v>
      </c>
      <c r="F6">
        <v>25</v>
      </c>
      <c r="G6">
        <v>26</v>
      </c>
    </row>
    <row r="8" spans="2:11">
      <c r="C8" s="1">
        <f>SUM(C4:C6)/3</f>
        <v>29</v>
      </c>
      <c r="D8" s="1">
        <f>SUM(D4:D6)/3</f>
        <v>29</v>
      </c>
      <c r="E8" s="1">
        <f>SUM(E4:E6)/3.75862069</f>
        <v>29.798165134880904</v>
      </c>
      <c r="F8" s="1">
        <f>SUM(F4:F6)/2.886083745</f>
        <v>29.451674833503489</v>
      </c>
      <c r="G8" s="1">
        <f>SUM(G4:G6)/2.886083745</f>
        <v>28.758694249185758</v>
      </c>
      <c r="K8" t="s">
        <v>8</v>
      </c>
    </row>
    <row r="10" spans="2:11">
      <c r="K10" t="s">
        <v>10</v>
      </c>
    </row>
    <row r="11" spans="2:11">
      <c r="D11" s="1" t="s">
        <v>9</v>
      </c>
      <c r="E11" s="1" t="s">
        <v>9</v>
      </c>
    </row>
    <row r="13" spans="2:11">
      <c r="D13">
        <f>(10+44+55)/29</f>
        <v>3.7586206896551726</v>
      </c>
      <c r="E13">
        <f>(14+46+26)/29.79816513</f>
        <v>2.8860837445798797</v>
      </c>
    </row>
    <row r="17" spans="1:11">
      <c r="B17" s="1" t="s">
        <v>27</v>
      </c>
    </row>
    <row r="19" spans="1:11">
      <c r="B19" t="s">
        <v>15</v>
      </c>
      <c r="C19" t="s">
        <v>3</v>
      </c>
      <c r="D19" t="s">
        <v>4</v>
      </c>
      <c r="E19" t="s">
        <v>5</v>
      </c>
      <c r="F19" t="s">
        <v>6</v>
      </c>
      <c r="G19" t="s">
        <v>7</v>
      </c>
    </row>
    <row r="20" spans="1:11">
      <c r="B20" t="s">
        <v>0</v>
      </c>
      <c r="C20" s="2">
        <v>20</v>
      </c>
      <c r="D20" s="2">
        <v>25</v>
      </c>
      <c r="E20" s="2">
        <v>30</v>
      </c>
      <c r="F20" s="2">
        <v>26</v>
      </c>
      <c r="G20" s="2">
        <v>38</v>
      </c>
    </row>
    <row r="21" spans="1:11">
      <c r="B21" t="s">
        <v>1</v>
      </c>
      <c r="C21" s="2">
        <v>40</v>
      </c>
      <c r="D21" s="2">
        <v>45</v>
      </c>
      <c r="E21" s="3" t="s">
        <v>30</v>
      </c>
      <c r="F21" s="2">
        <v>27</v>
      </c>
      <c r="G21" s="2">
        <v>32</v>
      </c>
    </row>
    <row r="22" spans="1:11">
      <c r="B22" t="s">
        <v>2</v>
      </c>
      <c r="C22" s="2">
        <v>10</v>
      </c>
      <c r="D22" s="2">
        <v>15</v>
      </c>
      <c r="E22" s="2">
        <v>18</v>
      </c>
      <c r="F22" s="3" t="s">
        <v>31</v>
      </c>
      <c r="G22" s="2">
        <v>76</v>
      </c>
    </row>
    <row r="23" spans="1:11">
      <c r="B23" t="s">
        <v>29</v>
      </c>
      <c r="C23" s="2">
        <v>60</v>
      </c>
      <c r="D23" s="2">
        <v>55</v>
      </c>
      <c r="E23" s="2">
        <v>65</v>
      </c>
      <c r="F23" s="2">
        <v>60</v>
      </c>
      <c r="G23" s="2">
        <v>72</v>
      </c>
    </row>
    <row r="24" spans="1:11">
      <c r="C24" s="1"/>
      <c r="D24" s="1"/>
      <c r="E24" s="1"/>
      <c r="F24" s="1"/>
      <c r="G24" s="1"/>
      <c r="K24" t="s">
        <v>32</v>
      </c>
    </row>
    <row r="26" spans="1:11">
      <c r="A26" t="s">
        <v>34</v>
      </c>
      <c r="B26" t="s">
        <v>35</v>
      </c>
      <c r="C26" s="1">
        <f>(20+40+10+60)/4</f>
        <v>32.5</v>
      </c>
      <c r="D26" s="1">
        <f>(25+45+15+55)/4</f>
        <v>35</v>
      </c>
      <c r="E26" s="1">
        <f>(30+52+18+65)/4</f>
        <v>41.25</v>
      </c>
      <c r="F26" s="1">
        <f>(26+27+37+60)/3.369697</f>
        <v>44.514388088899388</v>
      </c>
      <c r="G26">
        <f>(38+32+76+72)/4.200888927</f>
        <v>51.893778623583202</v>
      </c>
      <c r="K26" t="s">
        <v>33</v>
      </c>
    </row>
    <row r="27" spans="1:11">
      <c r="D27" s="1"/>
      <c r="E27" s="1"/>
    </row>
    <row r="29" spans="1:11">
      <c r="E29" s="1" t="s">
        <v>9</v>
      </c>
      <c r="F29" s="1" t="s">
        <v>9</v>
      </c>
    </row>
    <row r="31" spans="1:11">
      <c r="E31">
        <f>(30+26+18+65)/41.25</f>
        <v>3.3696969696969696</v>
      </c>
      <c r="F31">
        <f>(26+27+74+60)/44.51438809</f>
        <v>4.2008889265628007</v>
      </c>
    </row>
    <row r="35" spans="2:8">
      <c r="B35" s="1" t="s">
        <v>40</v>
      </c>
    </row>
    <row r="37" spans="2:8">
      <c r="B37" t="s">
        <v>15</v>
      </c>
      <c r="C37" t="s">
        <v>3</v>
      </c>
      <c r="D37" t="s">
        <v>4</v>
      </c>
      <c r="E37" t="s">
        <v>5</v>
      </c>
      <c r="F37" t="s">
        <v>6</v>
      </c>
      <c r="G37" t="s">
        <v>7</v>
      </c>
    </row>
    <row r="38" spans="2:8">
      <c r="B38" t="s">
        <v>0</v>
      </c>
      <c r="C38" s="2">
        <v>30</v>
      </c>
      <c r="D38" s="3" t="s">
        <v>36</v>
      </c>
      <c r="E38" s="2">
        <v>20</v>
      </c>
      <c r="F38" s="2">
        <v>26</v>
      </c>
      <c r="G38" s="2">
        <v>32</v>
      </c>
    </row>
    <row r="39" spans="2:8">
      <c r="B39" t="s">
        <v>1</v>
      </c>
      <c r="C39" s="2">
        <v>10</v>
      </c>
      <c r="D39" s="2">
        <v>15</v>
      </c>
      <c r="E39" s="3" t="s">
        <v>38</v>
      </c>
      <c r="F39" s="2">
        <v>62</v>
      </c>
      <c r="G39" s="2">
        <v>70</v>
      </c>
    </row>
    <row r="40" spans="2:8">
      <c r="B40" t="s">
        <v>2</v>
      </c>
      <c r="C40" s="2">
        <v>18</v>
      </c>
      <c r="D40" s="2">
        <v>24</v>
      </c>
      <c r="E40" s="2">
        <v>28</v>
      </c>
      <c r="F40" s="4">
        <v>22</v>
      </c>
      <c r="G40" s="2">
        <v>29</v>
      </c>
    </row>
    <row r="41" spans="2:8">
      <c r="C41" s="2"/>
      <c r="D41" s="2"/>
      <c r="E41" s="2"/>
      <c r="F41" s="2"/>
      <c r="G41" s="2"/>
    </row>
    <row r="42" spans="2:8">
      <c r="C42" s="1">
        <f>(30+10+18)/3</f>
        <v>19.333333333333332</v>
      </c>
      <c r="D42" s="1">
        <f>(36+15+24)/3</f>
        <v>25</v>
      </c>
      <c r="E42" s="1">
        <f>(20+20+28)/2.28</f>
        <v>29.824561403508774</v>
      </c>
      <c r="F42" s="1">
        <f>(26+62+22)/3.6211765</f>
        <v>30.376867849440647</v>
      </c>
      <c r="G42" s="1">
        <f>(32+70+29)/3.6211765</f>
        <v>36.176088075242951</v>
      </c>
      <c r="H42" t="s">
        <v>37</v>
      </c>
    </row>
    <row r="43" spans="2:8">
      <c r="D43" t="s">
        <v>9</v>
      </c>
      <c r="E43" t="s">
        <v>9</v>
      </c>
    </row>
    <row r="44" spans="2:8">
      <c r="C44" s="1"/>
      <c r="D44" s="1">
        <f>(18+15+24)/25</f>
        <v>2.2799999999999998</v>
      </c>
      <c r="E44" s="1">
        <f>(20+60+28)/29.824561</f>
        <v>3.6211765195806236</v>
      </c>
      <c r="F44" s="1"/>
      <c r="H44" t="s">
        <v>39</v>
      </c>
    </row>
    <row r="45" spans="2:8">
      <c r="D45" s="1"/>
      <c r="E45" s="1"/>
    </row>
    <row r="47" spans="2:8">
      <c r="E47" s="1"/>
      <c r="F47" s="1"/>
    </row>
    <row r="48" spans="2:8">
      <c r="B48" s="1" t="s">
        <v>41</v>
      </c>
    </row>
    <row r="50" spans="2:8">
      <c r="B50" t="s">
        <v>15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spans="2:8">
      <c r="B51" t="s">
        <v>0</v>
      </c>
      <c r="C51" s="2">
        <v>70</v>
      </c>
      <c r="D51" s="4">
        <v>76</v>
      </c>
      <c r="E51" s="2">
        <v>82</v>
      </c>
      <c r="F51" s="2">
        <v>86</v>
      </c>
      <c r="G51" s="2">
        <v>74</v>
      </c>
    </row>
    <row r="52" spans="2:8">
      <c r="B52" t="s">
        <v>1</v>
      </c>
      <c r="C52" s="3" t="s">
        <v>42</v>
      </c>
      <c r="D52" s="2">
        <v>50</v>
      </c>
      <c r="E52" s="3">
        <v>56</v>
      </c>
      <c r="F52" s="2">
        <v>65</v>
      </c>
      <c r="G52" s="2">
        <v>57</v>
      </c>
    </row>
    <row r="53" spans="2:8">
      <c r="B53" t="s">
        <v>2</v>
      </c>
      <c r="C53" s="2">
        <v>42</v>
      </c>
      <c r="D53" s="2">
        <v>45</v>
      </c>
      <c r="E53" s="3" t="s">
        <v>44</v>
      </c>
      <c r="F53" s="4">
        <v>36</v>
      </c>
      <c r="G53" s="2">
        <v>41</v>
      </c>
    </row>
    <row r="54" spans="2:8">
      <c r="B54" t="s">
        <v>29</v>
      </c>
      <c r="C54" s="2">
        <v>18</v>
      </c>
      <c r="D54" s="2">
        <v>22</v>
      </c>
      <c r="E54" s="2">
        <v>28</v>
      </c>
      <c r="F54" s="2">
        <v>24</v>
      </c>
      <c r="G54" s="2">
        <v>32</v>
      </c>
    </row>
    <row r="55" spans="2:8">
      <c r="C55" s="1"/>
      <c r="D55" s="1"/>
      <c r="E55" s="1"/>
      <c r="F55" s="1"/>
      <c r="G55" s="1"/>
      <c r="H55" t="s">
        <v>43</v>
      </c>
    </row>
    <row r="56" spans="2:8">
      <c r="C56">
        <f>(70+16+42+18)/4</f>
        <v>36.5</v>
      </c>
      <c r="D56">
        <f>(76+50+45+22)/4.876712329</f>
        <v>39.575842694739357</v>
      </c>
      <c r="E56">
        <f>(82+56+62+28)/4.876712329</f>
        <v>46.75280898653147</v>
      </c>
      <c r="F56">
        <f>(86+65+36+24)/4.2136506</f>
        <v>50.075343219012986</v>
      </c>
      <c r="G56">
        <f>(74+57+41+32)/4.2136506</f>
        <v>48.414075908429616</v>
      </c>
    </row>
    <row r="57" spans="2:8">
      <c r="C57" s="1"/>
      <c r="D57" s="1"/>
      <c r="E57" s="1"/>
      <c r="F57" s="1"/>
      <c r="H57" t="s">
        <v>10</v>
      </c>
    </row>
    <row r="59" spans="2:8">
      <c r="C59" s="1" t="s">
        <v>9</v>
      </c>
      <c r="E59" s="1" t="s">
        <v>9</v>
      </c>
    </row>
    <row r="61" spans="2:8">
      <c r="C61">
        <f>(70+48+42+18)/36.5</f>
        <v>4.8767123287671232</v>
      </c>
      <c r="E61">
        <f>(82+56+31+28)/46.752809</f>
        <v>4.2136505637554311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5"/>
  <sheetViews>
    <sheetView workbookViewId="0">
      <selection activeCell="C6" sqref="C6"/>
    </sheetView>
  </sheetViews>
  <sheetFormatPr defaultRowHeight="15"/>
  <sheetData>
    <row r="3" spans="2:13">
      <c r="B3" s="1" t="s">
        <v>135</v>
      </c>
      <c r="C3" s="20" t="s">
        <v>134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2:13">
      <c r="C5" t="s">
        <v>136</v>
      </c>
    </row>
  </sheetData>
  <mergeCells count="1">
    <mergeCell ref="C3:M3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95"/>
  <sheetViews>
    <sheetView topLeftCell="B73" workbookViewId="0">
      <selection activeCell="G77" sqref="G77"/>
    </sheetView>
  </sheetViews>
  <sheetFormatPr defaultRowHeight="15"/>
  <cols>
    <col min="2" max="2" width="18.28515625" customWidth="1"/>
    <col min="3" max="3" width="54.42578125" customWidth="1"/>
    <col min="4" max="4" width="24.140625" bestFit="1" customWidth="1"/>
    <col min="7" max="7" width="11.85546875" customWidth="1"/>
    <col min="10" max="10" width="22.42578125" bestFit="1" customWidth="1"/>
  </cols>
  <sheetData>
    <row r="3" spans="2:10">
      <c r="B3" s="9" t="s">
        <v>135</v>
      </c>
      <c r="D3" t="s">
        <v>137</v>
      </c>
      <c r="J3" s="9" t="s">
        <v>156</v>
      </c>
    </row>
    <row r="5" spans="2:10">
      <c r="B5" t="s">
        <v>150</v>
      </c>
    </row>
    <row r="7" spans="2:10">
      <c r="C7" t="s">
        <v>138</v>
      </c>
      <c r="E7" t="s">
        <v>139</v>
      </c>
    </row>
    <row r="10" spans="2:10">
      <c r="C10" t="s">
        <v>146</v>
      </c>
      <c r="E10" t="s">
        <v>140</v>
      </c>
      <c r="J10" t="s">
        <v>157</v>
      </c>
    </row>
    <row r="12" spans="2:10">
      <c r="C12" t="s">
        <v>141</v>
      </c>
      <c r="E12" t="s">
        <v>142</v>
      </c>
      <c r="J12" t="s">
        <v>158</v>
      </c>
    </row>
    <row r="14" spans="2:10">
      <c r="C14" t="s">
        <v>143</v>
      </c>
      <c r="E14" t="s">
        <v>144</v>
      </c>
      <c r="G14">
        <f>(20/100)*100</f>
        <v>20</v>
      </c>
      <c r="H14" t="s">
        <v>145</v>
      </c>
    </row>
    <row r="15" spans="2:10">
      <c r="J15">
        <f>120/100</f>
        <v>1.2</v>
      </c>
    </row>
    <row r="17" spans="2:5">
      <c r="C17" t="s">
        <v>149</v>
      </c>
      <c r="E17" t="s">
        <v>147</v>
      </c>
    </row>
    <row r="19" spans="2:5">
      <c r="E19" t="s">
        <v>148</v>
      </c>
    </row>
    <row r="25" spans="2:5">
      <c r="B25" t="s">
        <v>151</v>
      </c>
    </row>
    <row r="27" spans="2:5">
      <c r="C27" t="s">
        <v>138</v>
      </c>
      <c r="E27" t="s">
        <v>139</v>
      </c>
    </row>
    <row r="30" spans="2:5">
      <c r="C30" t="s">
        <v>146</v>
      </c>
      <c r="E30" t="s">
        <v>152</v>
      </c>
    </row>
    <row r="32" spans="2:5">
      <c r="C32" t="s">
        <v>141</v>
      </c>
      <c r="E32" t="s">
        <v>153</v>
      </c>
    </row>
    <row r="34" spans="3:8">
      <c r="C34" t="s">
        <v>143</v>
      </c>
      <c r="E34" t="s">
        <v>154</v>
      </c>
      <c r="G34">
        <v>-10</v>
      </c>
      <c r="H34" t="s">
        <v>145</v>
      </c>
    </row>
    <row r="37" spans="3:8">
      <c r="C37" t="s">
        <v>149</v>
      </c>
      <c r="E37" t="s">
        <v>147</v>
      </c>
    </row>
    <row r="39" spans="3:8">
      <c r="E39" t="s">
        <v>155</v>
      </c>
      <c r="G39">
        <f>((90-100)/100)*100</f>
        <v>-10</v>
      </c>
      <c r="H39" t="s">
        <v>145</v>
      </c>
    </row>
    <row r="41" spans="3:8">
      <c r="C41" t="s">
        <v>96</v>
      </c>
      <c r="D41" t="s">
        <v>159</v>
      </c>
      <c r="E41" t="s">
        <v>160</v>
      </c>
      <c r="F41">
        <f>90/100</f>
        <v>0.9</v>
      </c>
    </row>
    <row r="49" spans="1:7">
      <c r="B49" t="s">
        <v>135</v>
      </c>
      <c r="C49" t="s">
        <v>164</v>
      </c>
      <c r="D49" t="s">
        <v>163</v>
      </c>
      <c r="E49">
        <v>20</v>
      </c>
    </row>
    <row r="50" spans="1:7">
      <c r="A50">
        <v>1</v>
      </c>
      <c r="B50" s="21" t="s">
        <v>161</v>
      </c>
      <c r="C50" t="s">
        <v>165</v>
      </c>
      <c r="D50" t="s">
        <v>148</v>
      </c>
      <c r="E50">
        <v>0.2</v>
      </c>
      <c r="F50" t="s">
        <v>106</v>
      </c>
      <c r="G50" t="s">
        <v>166</v>
      </c>
    </row>
    <row r="51" spans="1:7">
      <c r="A51">
        <v>2</v>
      </c>
      <c r="B51" s="21"/>
      <c r="C51" s="14" t="s">
        <v>167</v>
      </c>
      <c r="D51" t="s">
        <v>168</v>
      </c>
      <c r="E51">
        <v>0.2</v>
      </c>
      <c r="F51" t="s">
        <v>169</v>
      </c>
      <c r="G51" t="s">
        <v>166</v>
      </c>
    </row>
    <row r="52" spans="1:7">
      <c r="B52" s="21"/>
      <c r="C52" s="14" t="s">
        <v>170</v>
      </c>
      <c r="D52" t="s">
        <v>171</v>
      </c>
      <c r="E52">
        <v>0.2</v>
      </c>
      <c r="F52" t="s">
        <v>172</v>
      </c>
      <c r="G52" t="s">
        <v>166</v>
      </c>
    </row>
    <row r="53" spans="1:7">
      <c r="B53" s="12"/>
    </row>
    <row r="55" spans="1:7">
      <c r="B55" t="s">
        <v>173</v>
      </c>
    </row>
    <row r="57" spans="1:7">
      <c r="B57" s="12" t="s">
        <v>161</v>
      </c>
      <c r="C57" t="s">
        <v>165</v>
      </c>
      <c r="D57" t="s">
        <v>174</v>
      </c>
      <c r="E57">
        <f>(125-100)/100</f>
        <v>0.25</v>
      </c>
      <c r="F57" t="s">
        <v>106</v>
      </c>
      <c r="G57" t="s">
        <v>175</v>
      </c>
    </row>
    <row r="59" spans="1:7">
      <c r="C59" t="s">
        <v>176</v>
      </c>
    </row>
    <row r="61" spans="1:7">
      <c r="C61" t="s">
        <v>177</v>
      </c>
    </row>
    <row r="67" spans="2:8">
      <c r="B67" s="11" t="s">
        <v>156</v>
      </c>
      <c r="C67" t="s">
        <v>162</v>
      </c>
      <c r="D67" t="s">
        <v>158</v>
      </c>
      <c r="E67">
        <f>120/100</f>
        <v>1.2</v>
      </c>
    </row>
    <row r="71" spans="2:8" ht="15.75">
      <c r="B71" s="13" t="s">
        <v>178</v>
      </c>
      <c r="C71" t="s">
        <v>179</v>
      </c>
    </row>
    <row r="73" spans="2:8">
      <c r="C73" t="s">
        <v>180</v>
      </c>
    </row>
    <row r="76" spans="2:8">
      <c r="G76" t="s">
        <v>193</v>
      </c>
      <c r="H76" t="s">
        <v>104</v>
      </c>
    </row>
    <row r="77" spans="2:8">
      <c r="B77" s="17" t="s">
        <v>192</v>
      </c>
      <c r="C77" t="s">
        <v>195</v>
      </c>
      <c r="E77">
        <v>2015</v>
      </c>
      <c r="F77">
        <v>10</v>
      </c>
    </row>
    <row r="78" spans="2:8">
      <c r="E78">
        <v>2016</v>
      </c>
      <c r="F78">
        <v>20</v>
      </c>
      <c r="G78">
        <f>20/10</f>
        <v>2</v>
      </c>
      <c r="H78">
        <f>2-1</f>
        <v>1</v>
      </c>
    </row>
    <row r="79" spans="2:8">
      <c r="C79" t="s">
        <v>196</v>
      </c>
      <c r="E79">
        <v>2017</v>
      </c>
      <c r="F79">
        <v>10</v>
      </c>
      <c r="G79">
        <f>10/20</f>
        <v>0.5</v>
      </c>
      <c r="H79">
        <f>0.5-1</f>
        <v>-0.5</v>
      </c>
    </row>
    <row r="81" spans="2:8">
      <c r="C81" t="s">
        <v>197</v>
      </c>
    </row>
    <row r="82" spans="2:8">
      <c r="G82" s="1" t="s">
        <v>194</v>
      </c>
      <c r="H82">
        <f>AVERAGE(H78:H79)</f>
        <v>0.25</v>
      </c>
    </row>
    <row r="88" spans="2:8" ht="15.75">
      <c r="B88" s="13" t="s">
        <v>178</v>
      </c>
      <c r="C88" t="s">
        <v>179</v>
      </c>
    </row>
    <row r="90" spans="2:8">
      <c r="C90" t="s">
        <v>180</v>
      </c>
    </row>
    <row r="93" spans="2:8">
      <c r="C93" t="s">
        <v>198</v>
      </c>
    </row>
    <row r="95" spans="2:8">
      <c r="C95" t="s">
        <v>199</v>
      </c>
    </row>
  </sheetData>
  <mergeCells count="1">
    <mergeCell ref="B50:B52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H8" sqref="H8"/>
    </sheetView>
  </sheetViews>
  <sheetFormatPr defaultRowHeight="15"/>
  <cols>
    <col min="2" max="2" width="11" bestFit="1" customWidth="1"/>
    <col min="3" max="3" width="14.85546875" bestFit="1" customWidth="1"/>
    <col min="4" max="4" width="13" customWidth="1"/>
    <col min="6" max="6" width="12" bestFit="1" customWidth="1"/>
    <col min="7" max="7" width="18.140625" bestFit="1" customWidth="1"/>
    <col min="8" max="8" width="22.7109375" bestFit="1" customWidth="1"/>
  </cols>
  <sheetData>
    <row r="1" spans="1:10">
      <c r="D1" s="15" t="s">
        <v>190</v>
      </c>
      <c r="E1" s="18" t="s">
        <v>178</v>
      </c>
      <c r="F1" s="18"/>
      <c r="G1" s="18"/>
    </row>
    <row r="2" spans="1:10">
      <c r="A2" s="10" t="s">
        <v>182</v>
      </c>
      <c r="B2" s="10" t="s">
        <v>181</v>
      </c>
      <c r="C2" t="s">
        <v>96</v>
      </c>
      <c r="D2" s="1" t="s">
        <v>104</v>
      </c>
      <c r="E2" s="1" t="s">
        <v>204</v>
      </c>
      <c r="F2" s="1" t="s">
        <v>200</v>
      </c>
    </row>
    <row r="3" spans="1:10">
      <c r="A3" t="s">
        <v>3</v>
      </c>
      <c r="B3">
        <v>40</v>
      </c>
    </row>
    <row r="4" spans="1:10">
      <c r="A4" t="s">
        <v>81</v>
      </c>
      <c r="B4">
        <v>42</v>
      </c>
      <c r="C4">
        <f>B4/B3</f>
        <v>1.05</v>
      </c>
      <c r="D4">
        <f>C4-1</f>
        <v>5.0000000000000044E-2</v>
      </c>
      <c r="E4">
        <f>D4-D$14</f>
        <v>-4.8136621606954616E-2</v>
      </c>
      <c r="F4">
        <f>E4*E4</f>
        <v>2.3171343397311302E-3</v>
      </c>
    </row>
    <row r="5" spans="1:10">
      <c r="A5" t="s">
        <v>183</v>
      </c>
      <c r="B5">
        <v>49</v>
      </c>
      <c r="C5">
        <f>B5/B4</f>
        <v>1.1666666666666667</v>
      </c>
      <c r="D5">
        <f t="shared" ref="D5:D10" si="0">C5-1</f>
        <v>0.16666666666666674</v>
      </c>
      <c r="E5">
        <f t="shared" ref="E5:E10" si="1">D5-D$14</f>
        <v>6.853004505971208E-2</v>
      </c>
      <c r="F5">
        <f t="shared" ref="F5:F10" si="2">E5*E5</f>
        <v>4.6963670758861679E-3</v>
      </c>
    </row>
    <row r="6" spans="1:10">
      <c r="A6" t="s">
        <v>184</v>
      </c>
      <c r="B6">
        <v>56</v>
      </c>
      <c r="C6">
        <f t="shared" ref="C6:C10" si="3">B6/B5</f>
        <v>1.1428571428571428</v>
      </c>
      <c r="D6">
        <f t="shared" si="0"/>
        <v>0.14285714285714279</v>
      </c>
      <c r="E6">
        <f t="shared" si="1"/>
        <v>4.4720521250188133E-2</v>
      </c>
      <c r="F6">
        <f t="shared" si="2"/>
        <v>1.9999250208885284E-3</v>
      </c>
    </row>
    <row r="7" spans="1:10">
      <c r="A7" t="s">
        <v>185</v>
      </c>
      <c r="B7">
        <v>50</v>
      </c>
      <c r="C7">
        <f t="shared" si="3"/>
        <v>0.8928571428571429</v>
      </c>
      <c r="D7">
        <f t="shared" si="0"/>
        <v>-0.1071428571428571</v>
      </c>
      <c r="E7">
        <f t="shared" si="1"/>
        <v>-0.20527947874981176</v>
      </c>
      <c r="F7">
        <f t="shared" si="2"/>
        <v>4.2139664395794418E-2</v>
      </c>
    </row>
    <row r="8" spans="1:10">
      <c r="A8" t="s">
        <v>186</v>
      </c>
      <c r="B8">
        <v>58</v>
      </c>
      <c r="C8">
        <f t="shared" si="3"/>
        <v>1.1599999999999999</v>
      </c>
      <c r="D8">
        <f t="shared" si="0"/>
        <v>0.15999999999999992</v>
      </c>
      <c r="E8">
        <f t="shared" si="1"/>
        <v>6.186337839304526E-2</v>
      </c>
      <c r="F8">
        <f t="shared" si="2"/>
        <v>3.8270775862010993E-3</v>
      </c>
    </row>
    <row r="9" spans="1:10">
      <c r="A9" t="s">
        <v>187</v>
      </c>
      <c r="B9">
        <v>67</v>
      </c>
      <c r="C9">
        <f t="shared" si="3"/>
        <v>1.1551724137931034</v>
      </c>
      <c r="D9">
        <f t="shared" si="0"/>
        <v>0.15517241379310343</v>
      </c>
      <c r="E9">
        <f t="shared" si="1"/>
        <v>5.7035792186148765E-2</v>
      </c>
      <c r="F9">
        <f t="shared" si="2"/>
        <v>3.2530815903015486E-3</v>
      </c>
    </row>
    <row r="10" spans="1:10">
      <c r="A10" t="s">
        <v>188</v>
      </c>
      <c r="B10">
        <v>75</v>
      </c>
      <c r="C10">
        <f t="shared" si="3"/>
        <v>1.1194029850746268</v>
      </c>
      <c r="D10">
        <f t="shared" si="0"/>
        <v>0.11940298507462677</v>
      </c>
      <c r="E10">
        <f t="shared" si="1"/>
        <v>2.1266363467672106E-2</v>
      </c>
      <c r="F10">
        <f t="shared" si="2"/>
        <v>4.5225821513913874E-4</v>
      </c>
    </row>
    <row r="11" spans="1:10">
      <c r="D11" s="1">
        <f>SUM(D4:D10)</f>
        <v>0.6869563512486826</v>
      </c>
      <c r="F11">
        <f>SUM(F4:F10)</f>
        <v>5.8685508223942029E-2</v>
      </c>
    </row>
    <row r="14" spans="1:10">
      <c r="B14" s="1" t="s">
        <v>189</v>
      </c>
      <c r="C14" t="s">
        <v>191</v>
      </c>
      <c r="D14">
        <f>D11/7</f>
        <v>9.813662160695466E-2</v>
      </c>
      <c r="F14">
        <f>F11/(7-1)</f>
        <v>9.7809180373236715E-3</v>
      </c>
      <c r="G14" s="1" t="s">
        <v>201</v>
      </c>
    </row>
    <row r="15" spans="1:10">
      <c r="G15" s="1" t="s">
        <v>202</v>
      </c>
      <c r="H15" s="1" t="s">
        <v>203</v>
      </c>
    </row>
    <row r="16" spans="1:10">
      <c r="C16" s="9" t="s">
        <v>205</v>
      </c>
      <c r="D16" s="9">
        <f>AVERAGE(D4:D10)</f>
        <v>9.813662160695466E-2</v>
      </c>
      <c r="G16" s="1" t="s">
        <v>178</v>
      </c>
      <c r="H16" s="9" t="s">
        <v>199</v>
      </c>
      <c r="I16" s="9"/>
      <c r="J16" s="9">
        <f>SQRT(F14)</f>
        <v>9.889852393905417E-2</v>
      </c>
    </row>
    <row r="21" spans="2:6">
      <c r="F21">
        <f>STDEV(D4:D10)</f>
        <v>9.889852393905417E-2</v>
      </c>
    </row>
    <row r="27" spans="2:6">
      <c r="B27" s="9"/>
      <c r="C27" s="9" t="s">
        <v>206</v>
      </c>
      <c r="D27" s="9" t="s">
        <v>207</v>
      </c>
      <c r="E27" s="9" t="s">
        <v>210</v>
      </c>
    </row>
    <row r="29" spans="2:6">
      <c r="B29" t="s">
        <v>208</v>
      </c>
      <c r="C29">
        <v>9.813662160695466E-2</v>
      </c>
      <c r="D29">
        <v>9.889852393905417E-2</v>
      </c>
      <c r="E29">
        <f>D29/C29</f>
        <v>1.0077636902475713</v>
      </c>
    </row>
    <row r="31" spans="2:6">
      <c r="B31" t="s">
        <v>209</v>
      </c>
      <c r="C31">
        <v>7.1234000000000006E-2</v>
      </c>
      <c r="D31">
        <v>5.7894599999999997E-2</v>
      </c>
      <c r="E31">
        <f>D31/C31</f>
        <v>0.81273829912682138</v>
      </c>
    </row>
    <row r="33" spans="6:7">
      <c r="F33" t="s">
        <v>210</v>
      </c>
      <c r="G33" s="9" t="s">
        <v>211</v>
      </c>
    </row>
  </sheetData>
  <mergeCells count="1">
    <mergeCell ref="E1:G1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"/>
  <sheetViews>
    <sheetView workbookViewId="0">
      <selection activeCell="C16" sqref="C16"/>
    </sheetView>
  </sheetViews>
  <sheetFormatPr defaultRowHeight="15"/>
  <cols>
    <col min="2" max="2" width="24.28515625" customWidth="1"/>
    <col min="3" max="3" width="51.85546875" bestFit="1" customWidth="1"/>
  </cols>
  <sheetData>
    <row r="3" spans="1:3">
      <c r="B3" t="s">
        <v>11</v>
      </c>
    </row>
    <row r="5" spans="1:3">
      <c r="A5">
        <v>1</v>
      </c>
      <c r="B5" t="s">
        <v>12</v>
      </c>
      <c r="C5" t="s">
        <v>16</v>
      </c>
    </row>
    <row r="6" spans="1:3">
      <c r="A6">
        <v>2</v>
      </c>
      <c r="B6" t="s">
        <v>13</v>
      </c>
    </row>
    <row r="7" spans="1:3">
      <c r="A7">
        <v>3</v>
      </c>
      <c r="B7" t="s">
        <v>14</v>
      </c>
    </row>
    <row r="12" spans="1:3">
      <c r="B12" t="s">
        <v>21</v>
      </c>
      <c r="C12" t="s">
        <v>22</v>
      </c>
    </row>
    <row r="15" spans="1:3">
      <c r="B15" t="s">
        <v>13</v>
      </c>
      <c r="C1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opLeftCell="A40" zoomScale="86" zoomScaleNormal="86" workbookViewId="0">
      <selection activeCell="A45" sqref="A45:M57"/>
    </sheetView>
  </sheetViews>
  <sheetFormatPr defaultRowHeight="15"/>
  <cols>
    <col min="2" max="2" width="12.140625" customWidth="1"/>
    <col min="3" max="3" width="13.28515625" customWidth="1"/>
    <col min="4" max="4" width="13.42578125" customWidth="1"/>
    <col min="5" max="5" width="9.7109375" customWidth="1"/>
    <col min="6" max="6" width="12" customWidth="1"/>
    <col min="7" max="7" width="13" customWidth="1"/>
    <col min="8" max="8" width="11" bestFit="1" customWidth="1"/>
    <col min="9" max="9" width="10.5703125" bestFit="1" customWidth="1"/>
    <col min="10" max="10" width="13.5703125" customWidth="1"/>
    <col min="11" max="11" width="3.85546875" customWidth="1"/>
    <col min="12" max="12" width="18" customWidth="1"/>
  </cols>
  <sheetData>
    <row r="1" spans="1:12">
      <c r="A1" s="1" t="s">
        <v>45</v>
      </c>
      <c r="B1" s="1"/>
    </row>
    <row r="3" spans="1:12">
      <c r="B3" s="2" t="s">
        <v>0</v>
      </c>
      <c r="C3" t="s">
        <v>17</v>
      </c>
      <c r="D3" s="1" t="s">
        <v>18</v>
      </c>
      <c r="E3" s="2" t="s">
        <v>1</v>
      </c>
      <c r="F3" t="s">
        <v>17</v>
      </c>
      <c r="G3" s="1" t="s">
        <v>19</v>
      </c>
      <c r="H3" s="2" t="s">
        <v>2</v>
      </c>
      <c r="I3" t="s">
        <v>17</v>
      </c>
      <c r="J3" s="1" t="s">
        <v>20</v>
      </c>
      <c r="L3" s="1" t="s">
        <v>23</v>
      </c>
    </row>
    <row r="4" spans="1:12">
      <c r="A4" t="s">
        <v>3</v>
      </c>
      <c r="B4">
        <v>12</v>
      </c>
      <c r="C4">
        <v>500</v>
      </c>
      <c r="D4" s="1">
        <f>12*500</f>
        <v>6000</v>
      </c>
      <c r="E4">
        <v>23</v>
      </c>
      <c r="F4">
        <v>350</v>
      </c>
      <c r="G4" s="1">
        <f>23*350</f>
        <v>8050</v>
      </c>
      <c r="H4">
        <v>52</v>
      </c>
      <c r="I4">
        <v>250</v>
      </c>
      <c r="J4" s="1">
        <f>52*250</f>
        <v>13000</v>
      </c>
      <c r="L4">
        <f>6000+8050+13000</f>
        <v>27050</v>
      </c>
    </row>
    <row r="5" spans="1:12">
      <c r="A5" t="s">
        <v>4</v>
      </c>
      <c r="B5">
        <v>10</v>
      </c>
      <c r="C5">
        <v>500</v>
      </c>
      <c r="D5" s="1">
        <f>10*500</f>
        <v>5000</v>
      </c>
      <c r="E5">
        <v>22</v>
      </c>
      <c r="F5">
        <v>350</v>
      </c>
      <c r="G5" s="1">
        <f>22*350</f>
        <v>7700</v>
      </c>
      <c r="H5">
        <v>55</v>
      </c>
      <c r="I5">
        <v>250</v>
      </c>
      <c r="J5" s="1">
        <f>55*250</f>
        <v>13750</v>
      </c>
      <c r="L5">
        <f>5000+7700+13750</f>
        <v>26450</v>
      </c>
    </row>
    <row r="6" spans="1:12">
      <c r="A6" t="s">
        <v>5</v>
      </c>
      <c r="B6">
        <v>14</v>
      </c>
      <c r="C6">
        <v>500</v>
      </c>
      <c r="D6" s="1">
        <f>14*500</f>
        <v>7000</v>
      </c>
      <c r="E6">
        <v>46</v>
      </c>
      <c r="F6" s="1">
        <v>175</v>
      </c>
      <c r="G6" s="1">
        <f>46*175</f>
        <v>8050</v>
      </c>
      <c r="H6">
        <v>52</v>
      </c>
      <c r="I6">
        <v>250</v>
      </c>
      <c r="J6" s="1">
        <f>52*250</f>
        <v>13000</v>
      </c>
      <c r="L6">
        <f>7000+8050+13000</f>
        <v>28050</v>
      </c>
    </row>
    <row r="7" spans="1:12">
      <c r="A7" t="s">
        <v>6</v>
      </c>
      <c r="B7">
        <v>13</v>
      </c>
      <c r="C7">
        <v>500</v>
      </c>
      <c r="D7" s="1">
        <f>13*500</f>
        <v>6500</v>
      </c>
      <c r="E7">
        <v>47</v>
      </c>
      <c r="F7">
        <v>175</v>
      </c>
      <c r="G7" s="1">
        <f>47*175</f>
        <v>8225</v>
      </c>
      <c r="H7">
        <v>25</v>
      </c>
      <c r="I7" s="1">
        <v>500</v>
      </c>
      <c r="J7" s="1">
        <f>25*500</f>
        <v>12500</v>
      </c>
      <c r="L7">
        <f>6500+8225+12500</f>
        <v>27225</v>
      </c>
    </row>
    <row r="8" spans="1:12">
      <c r="A8" t="s">
        <v>7</v>
      </c>
      <c r="B8">
        <v>12</v>
      </c>
      <c r="C8">
        <v>500</v>
      </c>
      <c r="D8" s="1">
        <f>12*500</f>
        <v>6000</v>
      </c>
      <c r="E8">
        <v>45</v>
      </c>
      <c r="F8">
        <v>175</v>
      </c>
      <c r="G8" s="1">
        <f>45*175</f>
        <v>7875</v>
      </c>
      <c r="H8">
        <v>26</v>
      </c>
      <c r="I8">
        <v>500</v>
      </c>
      <c r="J8" s="1">
        <f>26*500</f>
        <v>13000</v>
      </c>
      <c r="L8">
        <f>6000+7875+13000</f>
        <v>26875</v>
      </c>
    </row>
    <row r="12" spans="1:12">
      <c r="C12" t="s">
        <v>23</v>
      </c>
      <c r="D12" t="s">
        <v>24</v>
      </c>
    </row>
    <row r="13" spans="1:12">
      <c r="B13" t="s">
        <v>3</v>
      </c>
      <c r="C13">
        <v>27050</v>
      </c>
      <c r="D13">
        <f>(27050/27050)*1000</f>
        <v>1000</v>
      </c>
    </row>
    <row r="14" spans="1:12">
      <c r="B14" t="s">
        <v>4</v>
      </c>
      <c r="C14">
        <v>26450</v>
      </c>
      <c r="D14">
        <f>(26450/27050)*1000</f>
        <v>977.81885397412202</v>
      </c>
    </row>
    <row r="15" spans="1:12">
      <c r="B15" t="s">
        <v>5</v>
      </c>
      <c r="C15">
        <v>28050</v>
      </c>
      <c r="D15">
        <f>(28050/27050)*1000</f>
        <v>1036.9685767097967</v>
      </c>
    </row>
    <row r="16" spans="1:12">
      <c r="B16" t="s">
        <v>6</v>
      </c>
      <c r="C16">
        <v>27225</v>
      </c>
      <c r="D16">
        <f>(27225/27050)*1000</f>
        <v>1006.4695009242143</v>
      </c>
    </row>
    <row r="17" spans="1:12">
      <c r="B17" t="s">
        <v>7</v>
      </c>
      <c r="C17">
        <v>26875</v>
      </c>
      <c r="D17">
        <f>(26875/27050)*1000</f>
        <v>993.53049907578566</v>
      </c>
    </row>
    <row r="20" spans="1:12">
      <c r="A20" s="1" t="s">
        <v>46</v>
      </c>
      <c r="B20" s="1"/>
    </row>
    <row r="22" spans="1:12">
      <c r="B22" s="2" t="s">
        <v>0</v>
      </c>
      <c r="C22" t="s">
        <v>17</v>
      </c>
      <c r="D22" s="1" t="s">
        <v>18</v>
      </c>
      <c r="E22" s="2" t="s">
        <v>1</v>
      </c>
      <c r="F22" t="s">
        <v>17</v>
      </c>
      <c r="G22" s="1" t="s">
        <v>19</v>
      </c>
      <c r="H22" s="2" t="s">
        <v>2</v>
      </c>
      <c r="I22" t="s">
        <v>17</v>
      </c>
      <c r="J22" s="1" t="s">
        <v>20</v>
      </c>
      <c r="L22" s="1" t="s">
        <v>23</v>
      </c>
    </row>
    <row r="23" spans="1:12">
      <c r="A23" t="s">
        <v>3</v>
      </c>
      <c r="B23" s="2">
        <v>15</v>
      </c>
      <c r="C23" s="2">
        <v>100</v>
      </c>
      <c r="D23" s="1">
        <f>15*100</f>
        <v>1500</v>
      </c>
      <c r="E23" s="2">
        <v>20</v>
      </c>
      <c r="F23">
        <v>400</v>
      </c>
      <c r="G23" s="1">
        <f>20*400</f>
        <v>8000</v>
      </c>
      <c r="H23" s="2">
        <v>40</v>
      </c>
      <c r="I23" s="2">
        <v>300</v>
      </c>
      <c r="J23" s="1">
        <f>40*300</f>
        <v>12000</v>
      </c>
      <c r="L23">
        <f>1500+8000+12000</f>
        <v>21500</v>
      </c>
    </row>
    <row r="24" spans="1:12">
      <c r="A24" t="s">
        <v>4</v>
      </c>
      <c r="B24" s="2">
        <v>18</v>
      </c>
      <c r="C24" s="2">
        <v>100</v>
      </c>
      <c r="D24" s="1">
        <f>18*100</f>
        <v>1800</v>
      </c>
      <c r="E24" s="3" t="s">
        <v>47</v>
      </c>
      <c r="F24">
        <v>400</v>
      </c>
      <c r="G24" s="1">
        <f>25*400</f>
        <v>10000</v>
      </c>
      <c r="H24" s="2">
        <v>45</v>
      </c>
      <c r="I24" s="2">
        <v>300</v>
      </c>
      <c r="J24" s="1">
        <f>45*300</f>
        <v>13500</v>
      </c>
      <c r="L24">
        <f>1800+10000+13500</f>
        <v>25300</v>
      </c>
    </row>
    <row r="25" spans="1:12">
      <c r="A25" t="s">
        <v>5</v>
      </c>
      <c r="B25" s="2">
        <v>22</v>
      </c>
      <c r="C25" s="2">
        <v>100</v>
      </c>
      <c r="D25" s="1">
        <f>22*100</f>
        <v>2200</v>
      </c>
      <c r="E25" s="2">
        <v>52</v>
      </c>
      <c r="F25" s="1">
        <v>200</v>
      </c>
      <c r="G25" s="1">
        <f>52*200</f>
        <v>10400</v>
      </c>
      <c r="H25" s="3">
        <v>56</v>
      </c>
      <c r="I25" s="3">
        <v>300</v>
      </c>
      <c r="J25" s="1">
        <f>56*300</f>
        <v>16800</v>
      </c>
      <c r="L25">
        <f>2200+10400+16800</f>
        <v>29400</v>
      </c>
    </row>
    <row r="26" spans="1:12">
      <c r="A26" t="s">
        <v>6</v>
      </c>
      <c r="B26" s="2">
        <v>25</v>
      </c>
      <c r="C26" s="2">
        <v>100</v>
      </c>
      <c r="D26" s="1">
        <f>25*100</f>
        <v>2500</v>
      </c>
      <c r="E26" s="2">
        <v>56</v>
      </c>
      <c r="F26">
        <v>200</v>
      </c>
      <c r="G26" s="1">
        <f>56*200</f>
        <v>11200</v>
      </c>
      <c r="H26" s="3" t="s">
        <v>48</v>
      </c>
      <c r="I26" s="3">
        <v>300</v>
      </c>
      <c r="J26" s="1">
        <f>60*300</f>
        <v>18000</v>
      </c>
      <c r="L26">
        <f>2500+11200+18000</f>
        <v>31700</v>
      </c>
    </row>
    <row r="27" spans="1:12">
      <c r="A27" t="s">
        <v>7</v>
      </c>
      <c r="B27" s="2">
        <v>32</v>
      </c>
      <c r="C27" s="2">
        <v>100</v>
      </c>
      <c r="D27" s="1">
        <v>3200</v>
      </c>
      <c r="E27" s="2">
        <v>60</v>
      </c>
      <c r="F27">
        <v>200</v>
      </c>
      <c r="G27" s="1">
        <f>60*200</f>
        <v>12000</v>
      </c>
      <c r="H27" s="2">
        <v>34</v>
      </c>
      <c r="I27" s="2">
        <v>600</v>
      </c>
      <c r="J27" s="1">
        <f>34*600</f>
        <v>20400</v>
      </c>
      <c r="L27">
        <f>3200+12000+20400</f>
        <v>35600</v>
      </c>
    </row>
    <row r="30" spans="1:12">
      <c r="G30" t="s">
        <v>49</v>
      </c>
    </row>
    <row r="32" spans="1:12">
      <c r="G32" t="s">
        <v>58</v>
      </c>
    </row>
    <row r="34" spans="1:12">
      <c r="G34" t="s">
        <v>50</v>
      </c>
    </row>
    <row r="35" spans="1:12">
      <c r="A35" s="1" t="s">
        <v>51</v>
      </c>
      <c r="B35" s="1" t="s">
        <v>23</v>
      </c>
      <c r="C35" s="1" t="s">
        <v>52</v>
      </c>
    </row>
    <row r="36" spans="1:12">
      <c r="A36" t="s">
        <v>3</v>
      </c>
      <c r="B36">
        <v>21500</v>
      </c>
      <c r="C36">
        <f>(21500/21500)*1000</f>
        <v>1000</v>
      </c>
    </row>
    <row r="37" spans="1:12">
      <c r="A37" t="s">
        <v>4</v>
      </c>
      <c r="B37">
        <v>25300</v>
      </c>
      <c r="C37">
        <f>(25300/21500)*1000</f>
        <v>1176.7441860465115</v>
      </c>
    </row>
    <row r="38" spans="1:12">
      <c r="A38" t="s">
        <v>5</v>
      </c>
      <c r="B38">
        <v>29400</v>
      </c>
      <c r="C38">
        <f>(29400/21500)*1000</f>
        <v>1367.4418604651162</v>
      </c>
      <c r="E38" t="s">
        <v>52</v>
      </c>
      <c r="F38" t="s">
        <v>53</v>
      </c>
    </row>
    <row r="39" spans="1:12">
      <c r="A39" t="s">
        <v>6</v>
      </c>
      <c r="B39">
        <v>31700</v>
      </c>
      <c r="C39">
        <f>(31700/21500)*1000</f>
        <v>1474.4186046511627</v>
      </c>
    </row>
    <row r="40" spans="1:12">
      <c r="A40" t="s">
        <v>7</v>
      </c>
      <c r="B40">
        <v>35600</v>
      </c>
      <c r="C40">
        <f>(35600/21500)*1000</f>
        <v>1655.8139534883719</v>
      </c>
    </row>
    <row r="43" spans="1:12">
      <c r="A43" s="1" t="s">
        <v>46</v>
      </c>
      <c r="B43" s="1"/>
    </row>
    <row r="45" spans="1:12">
      <c r="B45" s="2" t="s">
        <v>0</v>
      </c>
      <c r="C45" t="s">
        <v>17</v>
      </c>
      <c r="D45" s="1" t="s">
        <v>18</v>
      </c>
      <c r="E45" s="2" t="s">
        <v>1</v>
      </c>
      <c r="F45" t="s">
        <v>17</v>
      </c>
      <c r="G45" s="1" t="s">
        <v>19</v>
      </c>
      <c r="H45" s="2" t="s">
        <v>2</v>
      </c>
      <c r="I45" t="s">
        <v>17</v>
      </c>
      <c r="J45" s="1" t="s">
        <v>20</v>
      </c>
      <c r="L45" s="1" t="s">
        <v>23</v>
      </c>
    </row>
    <row r="46" spans="1:12">
      <c r="A46" t="s">
        <v>3</v>
      </c>
      <c r="B46" s="2">
        <v>20</v>
      </c>
      <c r="C46" s="2">
        <v>500</v>
      </c>
      <c r="D46" s="1"/>
      <c r="E46" s="2">
        <v>32</v>
      </c>
      <c r="F46" s="2">
        <v>200</v>
      </c>
      <c r="G46" s="1"/>
      <c r="H46" s="2">
        <v>52</v>
      </c>
      <c r="I46" s="2">
        <v>100</v>
      </c>
      <c r="J46" s="1"/>
    </row>
    <row r="47" spans="1:12">
      <c r="A47" t="s">
        <v>4</v>
      </c>
      <c r="B47" s="2">
        <v>25</v>
      </c>
      <c r="C47" s="2">
        <v>500</v>
      </c>
      <c r="D47" s="1"/>
      <c r="E47" s="4">
        <v>38</v>
      </c>
      <c r="F47" s="4">
        <v>200</v>
      </c>
      <c r="G47" s="1"/>
      <c r="H47" s="2">
        <v>56</v>
      </c>
      <c r="I47" s="2">
        <v>100</v>
      </c>
      <c r="J47" s="1"/>
    </row>
    <row r="48" spans="1:12">
      <c r="A48" t="s">
        <v>5</v>
      </c>
      <c r="B48" s="3" t="s">
        <v>54</v>
      </c>
      <c r="C48" s="3">
        <v>500</v>
      </c>
      <c r="D48" s="1"/>
      <c r="E48" s="3" t="s">
        <v>55</v>
      </c>
      <c r="F48" s="3">
        <v>200</v>
      </c>
      <c r="G48" s="1"/>
      <c r="H48" s="4">
        <v>58</v>
      </c>
      <c r="I48" s="4">
        <v>100</v>
      </c>
      <c r="J48" s="1"/>
    </row>
    <row r="49" spans="1:10">
      <c r="A49" t="s">
        <v>6</v>
      </c>
      <c r="B49" s="2">
        <v>38</v>
      </c>
      <c r="C49" s="2">
        <v>250</v>
      </c>
      <c r="D49" s="1"/>
      <c r="E49" s="2">
        <v>24</v>
      </c>
      <c r="F49" s="4">
        <v>400</v>
      </c>
      <c r="G49" s="1"/>
      <c r="H49" s="3">
        <v>50</v>
      </c>
      <c r="I49" s="4">
        <v>100</v>
      </c>
      <c r="J49" s="1"/>
    </row>
    <row r="50" spans="1:10">
      <c r="A50" t="s">
        <v>7</v>
      </c>
      <c r="B50" s="2">
        <v>42</v>
      </c>
      <c r="C50" s="2">
        <v>250</v>
      </c>
      <c r="D50" s="1"/>
      <c r="E50" s="2">
        <v>28</v>
      </c>
      <c r="F50" s="4">
        <v>400</v>
      </c>
      <c r="G50" s="1"/>
      <c r="H50" s="2">
        <v>46</v>
      </c>
      <c r="I50" s="4">
        <v>100</v>
      </c>
      <c r="J50" s="1"/>
    </row>
    <row r="52" spans="1:10">
      <c r="H52" t="s">
        <v>56</v>
      </c>
    </row>
    <row r="54" spans="1:10">
      <c r="H54" t="s">
        <v>57</v>
      </c>
    </row>
    <row r="56" spans="1:10">
      <c r="H56" t="s">
        <v>59</v>
      </c>
    </row>
    <row r="62" spans="1:10">
      <c r="B62" t="s">
        <v>60</v>
      </c>
    </row>
    <row r="63" spans="1:10">
      <c r="B63" t="s">
        <v>61</v>
      </c>
    </row>
    <row r="64" spans="1:10">
      <c r="B64" t="s">
        <v>62</v>
      </c>
    </row>
    <row r="65" spans="2:2">
      <c r="B65" t="s">
        <v>63</v>
      </c>
    </row>
    <row r="66" spans="2:2">
      <c r="B66" t="s">
        <v>64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topLeftCell="B22" zoomScale="86" zoomScaleNormal="86" workbookViewId="0">
      <selection activeCell="K46" sqref="K46"/>
    </sheetView>
  </sheetViews>
  <sheetFormatPr defaultRowHeight="15"/>
  <cols>
    <col min="2" max="2" width="19.140625" bestFit="1" customWidth="1"/>
    <col min="3" max="3" width="15.85546875" customWidth="1"/>
    <col min="4" max="4" width="12.7109375" bestFit="1" customWidth="1"/>
    <col min="6" max="6" width="12.5703125" customWidth="1"/>
    <col min="7" max="7" width="12.5703125" bestFit="1" customWidth="1"/>
    <col min="9" max="9" width="10.140625" customWidth="1"/>
    <col min="10" max="10" width="12.5703125" bestFit="1" customWidth="1"/>
    <col min="12" max="12" width="18.140625" bestFit="1" customWidth="1"/>
  </cols>
  <sheetData>
    <row r="1" spans="1:12">
      <c r="A1" s="1" t="s">
        <v>45</v>
      </c>
    </row>
    <row r="3" spans="1:12">
      <c r="B3" t="s">
        <v>0</v>
      </c>
      <c r="C3" t="s">
        <v>17</v>
      </c>
      <c r="D3" t="s">
        <v>18</v>
      </c>
      <c r="E3" t="s">
        <v>1</v>
      </c>
      <c r="F3" t="s">
        <v>17</v>
      </c>
      <c r="G3" t="s">
        <v>19</v>
      </c>
      <c r="H3" t="s">
        <v>2</v>
      </c>
      <c r="I3" t="s">
        <v>17</v>
      </c>
      <c r="J3" t="s">
        <v>20</v>
      </c>
      <c r="L3" s="1" t="s">
        <v>23</v>
      </c>
    </row>
    <row r="4" spans="1:12">
      <c r="A4" t="s">
        <v>3</v>
      </c>
      <c r="B4">
        <v>12</v>
      </c>
      <c r="C4">
        <f>1000/12</f>
        <v>83.333333333333329</v>
      </c>
      <c r="D4" s="1">
        <v>1000</v>
      </c>
      <c r="E4">
        <v>23</v>
      </c>
      <c r="F4">
        <f>1000/23</f>
        <v>43.478260869565219</v>
      </c>
      <c r="G4" s="1">
        <v>1000</v>
      </c>
      <c r="H4">
        <v>52</v>
      </c>
      <c r="I4">
        <f>1000/52</f>
        <v>19.23076923076923</v>
      </c>
      <c r="J4" s="1">
        <v>1000</v>
      </c>
      <c r="L4" s="1">
        <f>1000+1000+1000</f>
        <v>3000</v>
      </c>
    </row>
    <row r="5" spans="1:12">
      <c r="A5" t="s">
        <v>4</v>
      </c>
      <c r="B5">
        <v>10</v>
      </c>
      <c r="C5">
        <f t="shared" ref="C5:C8" si="0">1000/12</f>
        <v>83.333333333333329</v>
      </c>
      <c r="D5">
        <f>10*83.33333</f>
        <v>833.33330000000001</v>
      </c>
      <c r="E5">
        <v>22</v>
      </c>
      <c r="F5">
        <f>1000/23</f>
        <v>43.478260869565219</v>
      </c>
      <c r="G5">
        <f>E5*F5</f>
        <v>956.52173913043475</v>
      </c>
      <c r="H5">
        <v>55</v>
      </c>
      <c r="I5">
        <f t="shared" ref="I5:I6" si="1">1000/52</f>
        <v>19.23076923076923</v>
      </c>
      <c r="J5">
        <f>H5*I5</f>
        <v>1057.6923076923076</v>
      </c>
      <c r="L5" s="1">
        <f>D5+G5+J5</f>
        <v>2847.5473468227424</v>
      </c>
    </row>
    <row r="6" spans="1:12">
      <c r="A6" t="s">
        <v>5</v>
      </c>
      <c r="B6">
        <v>14</v>
      </c>
      <c r="C6">
        <f t="shared" si="0"/>
        <v>83.333333333333329</v>
      </c>
      <c r="D6">
        <f>14*C6</f>
        <v>1166.6666666666665</v>
      </c>
      <c r="E6">
        <v>46</v>
      </c>
      <c r="F6">
        <f>43.47826/2</f>
        <v>21.739129999999999</v>
      </c>
      <c r="G6">
        <f>E6*F6</f>
        <v>999.99997999999994</v>
      </c>
      <c r="H6">
        <v>52</v>
      </c>
      <c r="I6">
        <f t="shared" si="1"/>
        <v>19.23076923076923</v>
      </c>
      <c r="J6">
        <f>H6*I6</f>
        <v>1000</v>
      </c>
      <c r="L6" s="1">
        <f>D6+G6+J6</f>
        <v>3166.6666466666666</v>
      </c>
    </row>
    <row r="7" spans="1:12">
      <c r="A7" t="s">
        <v>6</v>
      </c>
      <c r="B7">
        <v>13</v>
      </c>
      <c r="C7">
        <f t="shared" si="0"/>
        <v>83.333333333333329</v>
      </c>
      <c r="D7">
        <f>B7*C7</f>
        <v>1083.3333333333333</v>
      </c>
      <c r="E7">
        <v>47</v>
      </c>
      <c r="F7">
        <f t="shared" ref="F7:F8" si="2">43.47826/2</f>
        <v>21.739129999999999</v>
      </c>
      <c r="G7">
        <f>E7*F7</f>
        <v>1021.73911</v>
      </c>
      <c r="H7">
        <v>25</v>
      </c>
      <c r="I7">
        <f>I6*2</f>
        <v>38.46153846153846</v>
      </c>
      <c r="J7">
        <f>H7*I7</f>
        <v>961.53846153846155</v>
      </c>
      <c r="L7" s="1">
        <f t="shared" ref="L7:L8" si="3">D7+G7+J7</f>
        <v>3066.6109048717949</v>
      </c>
    </row>
    <row r="8" spans="1:12">
      <c r="A8" t="s">
        <v>7</v>
      </c>
      <c r="B8">
        <v>12</v>
      </c>
      <c r="C8">
        <f t="shared" si="0"/>
        <v>83.333333333333329</v>
      </c>
      <c r="D8">
        <f>B8*C8</f>
        <v>1000</v>
      </c>
      <c r="E8">
        <v>45</v>
      </c>
      <c r="F8">
        <f t="shared" si="2"/>
        <v>21.739129999999999</v>
      </c>
      <c r="G8">
        <f>E8*F8</f>
        <v>978.26085</v>
      </c>
      <c r="H8">
        <v>26</v>
      </c>
      <c r="I8">
        <v>38.461539999999999</v>
      </c>
      <c r="J8">
        <f>H8*I8</f>
        <v>1000.00004</v>
      </c>
      <c r="L8" s="1">
        <f t="shared" si="3"/>
        <v>2978.26089</v>
      </c>
    </row>
    <row r="12" spans="1:12">
      <c r="C12" t="s">
        <v>8</v>
      </c>
    </row>
    <row r="14" spans="1:12">
      <c r="C14" t="s">
        <v>10</v>
      </c>
    </row>
    <row r="18" spans="1:12">
      <c r="B18" t="s">
        <v>23</v>
      </c>
      <c r="C18" s="1" t="s">
        <v>26</v>
      </c>
    </row>
    <row r="19" spans="1:12">
      <c r="A19" t="s">
        <v>3</v>
      </c>
      <c r="B19">
        <v>3000</v>
      </c>
      <c r="C19">
        <f>B19/B19</f>
        <v>1</v>
      </c>
    </row>
    <row r="20" spans="1:12">
      <c r="A20" t="s">
        <v>4</v>
      </c>
      <c r="B20">
        <v>2847.5473468227424</v>
      </c>
      <c r="C20">
        <f>B20/B19</f>
        <v>0.94918244894091408</v>
      </c>
    </row>
    <row r="21" spans="1:12">
      <c r="A21" t="s">
        <v>5</v>
      </c>
      <c r="B21">
        <v>3166.6666466666666</v>
      </c>
      <c r="C21">
        <f>B21/B19</f>
        <v>1.0555555488888888</v>
      </c>
    </row>
    <row r="22" spans="1:12">
      <c r="A22" t="s">
        <v>6</v>
      </c>
      <c r="B22">
        <v>3066.6109048717949</v>
      </c>
      <c r="C22">
        <f>B22/B19</f>
        <v>1.022203634957265</v>
      </c>
    </row>
    <row r="23" spans="1:12">
      <c r="A23" t="s">
        <v>7</v>
      </c>
      <c r="B23">
        <v>2978.26089</v>
      </c>
      <c r="C23">
        <f>B23/B19</f>
        <v>0.99275363000000005</v>
      </c>
    </row>
    <row r="25" spans="1:12">
      <c r="A25" s="1" t="s">
        <v>46</v>
      </c>
      <c r="B25" s="1"/>
    </row>
    <row r="27" spans="1:12">
      <c r="B27" t="s">
        <v>0</v>
      </c>
      <c r="C27" t="s">
        <v>17</v>
      </c>
      <c r="D27" t="s">
        <v>18</v>
      </c>
      <c r="E27" t="s">
        <v>1</v>
      </c>
      <c r="F27" t="s">
        <v>17</v>
      </c>
      <c r="G27" t="s">
        <v>19</v>
      </c>
      <c r="H27" t="s">
        <v>2</v>
      </c>
      <c r="I27" t="s">
        <v>17</v>
      </c>
      <c r="J27" t="s">
        <v>20</v>
      </c>
      <c r="L27" s="1" t="s">
        <v>23</v>
      </c>
    </row>
    <row r="28" spans="1:12">
      <c r="A28" t="s">
        <v>3</v>
      </c>
      <c r="B28">
        <v>22</v>
      </c>
      <c r="C28">
        <v>45.45</v>
      </c>
      <c r="D28" s="1">
        <v>1000</v>
      </c>
      <c r="E28" s="2">
        <v>10</v>
      </c>
      <c r="F28">
        <v>100</v>
      </c>
      <c r="G28" s="1">
        <v>1000</v>
      </c>
      <c r="H28" s="2">
        <v>40</v>
      </c>
      <c r="I28">
        <v>25</v>
      </c>
      <c r="J28" s="1">
        <v>1000</v>
      </c>
      <c r="L28" s="1">
        <f>1000+1000+1000</f>
        <v>3000</v>
      </c>
    </row>
    <row r="29" spans="1:12">
      <c r="A29" t="s">
        <v>4</v>
      </c>
      <c r="B29">
        <v>25</v>
      </c>
      <c r="C29">
        <v>45.45</v>
      </c>
      <c r="D29">
        <f>25*45.45</f>
        <v>1136.25</v>
      </c>
      <c r="E29" s="3" t="s">
        <v>65</v>
      </c>
      <c r="F29">
        <v>100</v>
      </c>
      <c r="G29">
        <f>12*100</f>
        <v>1200</v>
      </c>
      <c r="H29" s="2">
        <v>50</v>
      </c>
      <c r="I29">
        <v>25</v>
      </c>
      <c r="J29">
        <f>50*25</f>
        <v>1250</v>
      </c>
      <c r="L29" s="1">
        <f>1136.25+1200+1250</f>
        <v>3586.25</v>
      </c>
    </row>
    <row r="30" spans="1:12">
      <c r="A30" t="s">
        <v>5</v>
      </c>
      <c r="B30">
        <v>30</v>
      </c>
      <c r="C30">
        <v>45.45</v>
      </c>
      <c r="D30">
        <f>30*45.45</f>
        <v>1363.5</v>
      </c>
      <c r="E30" s="4">
        <v>25</v>
      </c>
      <c r="F30">
        <v>50</v>
      </c>
      <c r="G30">
        <f>25*50</f>
        <v>1250</v>
      </c>
      <c r="H30" s="3" t="s">
        <v>48</v>
      </c>
      <c r="I30">
        <v>25</v>
      </c>
      <c r="J30">
        <f>60*25</f>
        <v>1500</v>
      </c>
      <c r="L30" s="1">
        <f>1363.5+1250+1500</f>
        <v>4113.5</v>
      </c>
    </row>
    <row r="31" spans="1:12">
      <c r="A31" t="s">
        <v>6</v>
      </c>
      <c r="B31">
        <v>35</v>
      </c>
      <c r="C31">
        <v>45.45</v>
      </c>
      <c r="D31">
        <f>35*45.45</f>
        <v>1590.75</v>
      </c>
      <c r="E31" s="2">
        <v>29</v>
      </c>
      <c r="F31">
        <v>50</v>
      </c>
      <c r="G31">
        <f>29*50</f>
        <v>1450</v>
      </c>
      <c r="H31" s="2">
        <v>32</v>
      </c>
      <c r="I31">
        <v>50</v>
      </c>
      <c r="J31">
        <f>32*50</f>
        <v>1600</v>
      </c>
      <c r="L31" s="1">
        <f>1590.75+1450+1600</f>
        <v>4640.75</v>
      </c>
    </row>
    <row r="32" spans="1:12">
      <c r="A32" t="s">
        <v>7</v>
      </c>
      <c r="B32">
        <v>29</v>
      </c>
      <c r="C32">
        <v>45.45</v>
      </c>
      <c r="D32">
        <f>29*45.45</f>
        <v>1318.0500000000002</v>
      </c>
      <c r="E32" s="2">
        <v>34</v>
      </c>
      <c r="F32">
        <v>50</v>
      </c>
      <c r="G32">
        <f>34*50</f>
        <v>1700</v>
      </c>
      <c r="H32" s="2">
        <v>38</v>
      </c>
      <c r="I32">
        <v>50</v>
      </c>
      <c r="J32">
        <f>38*50</f>
        <v>1900</v>
      </c>
      <c r="L32" s="1">
        <f>1318.05+1700+1900</f>
        <v>4918.05</v>
      </c>
    </row>
    <row r="36" spans="1:3">
      <c r="C36" t="s">
        <v>8</v>
      </c>
    </row>
    <row r="38" spans="1:3">
      <c r="C38" t="s">
        <v>10</v>
      </c>
    </row>
    <row r="42" spans="1:3">
      <c r="B42" t="s">
        <v>23</v>
      </c>
      <c r="C42" s="1" t="s">
        <v>26</v>
      </c>
    </row>
    <row r="43" spans="1:3">
      <c r="A43" t="s">
        <v>3</v>
      </c>
      <c r="B43">
        <v>3000</v>
      </c>
      <c r="C43">
        <f>3000/3000</f>
        <v>1</v>
      </c>
    </row>
    <row r="44" spans="1:3">
      <c r="A44" t="s">
        <v>4</v>
      </c>
      <c r="B44">
        <v>3586.25</v>
      </c>
      <c r="C44">
        <f>3586.25/3000</f>
        <v>1.1954166666666666</v>
      </c>
    </row>
    <row r="45" spans="1:3">
      <c r="A45" t="s">
        <v>5</v>
      </c>
      <c r="B45">
        <v>4113.5</v>
      </c>
      <c r="C45">
        <f>4113.5/3000</f>
        <v>1.3711666666666666</v>
      </c>
    </row>
    <row r="46" spans="1:3">
      <c r="A46" t="s">
        <v>6</v>
      </c>
      <c r="B46">
        <v>4640.75</v>
      </c>
      <c r="C46">
        <f>4640.75/3000</f>
        <v>1.5469166666666667</v>
      </c>
    </row>
    <row r="47" spans="1:3">
      <c r="A47" t="s">
        <v>7</v>
      </c>
      <c r="B47">
        <v>4918.05</v>
      </c>
      <c r="C47">
        <f>4918.05/3000</f>
        <v>1.6393500000000001</v>
      </c>
    </row>
    <row r="53" spans="1:12">
      <c r="A53" s="1" t="s">
        <v>66</v>
      </c>
      <c r="B53" s="1"/>
    </row>
    <row r="55" spans="1:12">
      <c r="B55" t="s">
        <v>0</v>
      </c>
      <c r="C55" t="s">
        <v>17</v>
      </c>
      <c r="D55" t="s">
        <v>18</v>
      </c>
      <c r="E55" t="s">
        <v>1</v>
      </c>
      <c r="F55" t="s">
        <v>17</v>
      </c>
      <c r="G55" t="s">
        <v>19</v>
      </c>
      <c r="H55" t="s">
        <v>2</v>
      </c>
      <c r="I55" t="s">
        <v>17</v>
      </c>
      <c r="J55" t="s">
        <v>20</v>
      </c>
      <c r="L55" s="1" t="s">
        <v>23</v>
      </c>
    </row>
    <row r="56" spans="1:12">
      <c r="A56" t="s">
        <v>3</v>
      </c>
      <c r="B56">
        <v>15</v>
      </c>
      <c r="C56">
        <f>1000/15</f>
        <v>66.666666666666671</v>
      </c>
      <c r="D56" s="1">
        <v>1000</v>
      </c>
      <c r="E56" s="2">
        <v>40</v>
      </c>
      <c r="F56">
        <f>1000/40</f>
        <v>25</v>
      </c>
      <c r="G56" s="1">
        <v>1000</v>
      </c>
      <c r="H56" s="2">
        <v>26</v>
      </c>
      <c r="I56">
        <f>1000/26</f>
        <v>38.46153846153846</v>
      </c>
      <c r="J56" s="1">
        <v>1000</v>
      </c>
      <c r="L56" s="1">
        <f>D56+G56+J56</f>
        <v>3000</v>
      </c>
    </row>
    <row r="57" spans="1:12">
      <c r="A57" t="s">
        <v>4</v>
      </c>
      <c r="B57">
        <v>18</v>
      </c>
      <c r="C57">
        <f t="shared" ref="C57:C60" si="4">1000/15</f>
        <v>66.666666666666671</v>
      </c>
      <c r="D57">
        <f>18*66.67</f>
        <v>1200.06</v>
      </c>
      <c r="E57" s="3">
        <v>50</v>
      </c>
      <c r="F57">
        <v>25</v>
      </c>
      <c r="G57">
        <f>50*25</f>
        <v>1250</v>
      </c>
      <c r="H57" s="2">
        <v>32</v>
      </c>
      <c r="I57">
        <f>1000/26</f>
        <v>38.46153846153846</v>
      </c>
      <c r="J57">
        <f>32*I57</f>
        <v>1230.7692307692307</v>
      </c>
      <c r="L57" s="1">
        <f>D57+G57+J57</f>
        <v>3680.8292307692309</v>
      </c>
    </row>
    <row r="58" spans="1:12">
      <c r="A58" t="s">
        <v>5</v>
      </c>
      <c r="B58">
        <v>27</v>
      </c>
      <c r="C58">
        <f t="shared" si="4"/>
        <v>66.666666666666671</v>
      </c>
      <c r="D58">
        <f>27*66.67</f>
        <v>1800.0900000000001</v>
      </c>
      <c r="E58" s="4">
        <v>27</v>
      </c>
      <c r="F58">
        <v>50</v>
      </c>
      <c r="G58">
        <f>27*50</f>
        <v>1350</v>
      </c>
      <c r="H58" s="3">
        <v>36</v>
      </c>
      <c r="I58">
        <f>1000/26</f>
        <v>38.46153846153846</v>
      </c>
      <c r="J58">
        <f>36*I58</f>
        <v>1384.6153846153845</v>
      </c>
      <c r="L58" s="1">
        <f t="shared" ref="L58:L60" si="5">D58+G58+J58</f>
        <v>4534.7053846153849</v>
      </c>
    </row>
    <row r="59" spans="1:12">
      <c r="A59" t="s">
        <v>6</v>
      </c>
      <c r="B59">
        <v>19</v>
      </c>
      <c r="C59">
        <f t="shared" si="4"/>
        <v>66.666666666666671</v>
      </c>
      <c r="D59">
        <f>19*66.67</f>
        <v>1266.73</v>
      </c>
      <c r="E59" s="2">
        <v>30</v>
      </c>
      <c r="F59">
        <v>50</v>
      </c>
      <c r="G59">
        <f>30*50</f>
        <v>1500</v>
      </c>
      <c r="H59" s="2">
        <v>20</v>
      </c>
      <c r="I59">
        <f>I58*2</f>
        <v>76.92307692307692</v>
      </c>
      <c r="J59">
        <f>H59*I59</f>
        <v>1538.4615384615383</v>
      </c>
      <c r="L59" s="1">
        <f t="shared" si="5"/>
        <v>4305.1915384615386</v>
      </c>
    </row>
    <row r="60" spans="1:12">
      <c r="A60" t="s">
        <v>7</v>
      </c>
      <c r="B60">
        <v>25</v>
      </c>
      <c r="C60">
        <f t="shared" si="4"/>
        <v>66.666666666666671</v>
      </c>
      <c r="D60">
        <f>25*66.67</f>
        <v>1666.75</v>
      </c>
      <c r="E60" s="2">
        <v>27</v>
      </c>
      <c r="F60">
        <v>50</v>
      </c>
      <c r="G60">
        <f>27*50</f>
        <v>1350</v>
      </c>
      <c r="H60" s="2">
        <v>26</v>
      </c>
      <c r="I60">
        <v>76.923079999999999</v>
      </c>
      <c r="J60">
        <f>H60*I60</f>
        <v>2000.00008</v>
      </c>
      <c r="L60" s="1">
        <f t="shared" si="5"/>
        <v>5016.7500799999998</v>
      </c>
    </row>
    <row r="64" spans="1:12">
      <c r="C64" t="s">
        <v>67</v>
      </c>
    </row>
    <row r="66" spans="1:3">
      <c r="C66" t="s">
        <v>10</v>
      </c>
    </row>
    <row r="70" spans="1:3">
      <c r="B70" t="s">
        <v>23</v>
      </c>
      <c r="C70" s="1" t="s">
        <v>26</v>
      </c>
    </row>
    <row r="71" spans="1:3">
      <c r="A71" t="s">
        <v>3</v>
      </c>
      <c r="B71">
        <v>3000</v>
      </c>
      <c r="C71">
        <f>B71/B71</f>
        <v>1</v>
      </c>
    </row>
    <row r="72" spans="1:3">
      <c r="A72" t="s">
        <v>4</v>
      </c>
      <c r="B72">
        <v>3680.8292307692309</v>
      </c>
      <c r="C72">
        <f>B72/B71</f>
        <v>1.2269430769230769</v>
      </c>
    </row>
    <row r="73" spans="1:3">
      <c r="A73" t="s">
        <v>5</v>
      </c>
      <c r="B73">
        <v>4534.7053846153849</v>
      </c>
      <c r="C73">
        <f>B73/B71</f>
        <v>1.5115684615384617</v>
      </c>
    </row>
    <row r="74" spans="1:3">
      <c r="A74" t="s">
        <v>6</v>
      </c>
      <c r="B74">
        <v>4305.1915384615386</v>
      </c>
      <c r="C74">
        <f>B74/B71</f>
        <v>1.4350638461538463</v>
      </c>
    </row>
    <row r="75" spans="1:3">
      <c r="A75" t="s">
        <v>7</v>
      </c>
      <c r="B75">
        <v>5016.7500799999998</v>
      </c>
      <c r="C75">
        <f>B75/B71</f>
        <v>1.6722500266666667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1"/>
  <sheetViews>
    <sheetView workbookViewId="0">
      <selection activeCell="C18" sqref="C18"/>
    </sheetView>
  </sheetViews>
  <sheetFormatPr defaultRowHeight="15"/>
  <sheetData>
    <row r="2" spans="2:3">
      <c r="B2" t="s">
        <v>34</v>
      </c>
      <c r="C2" t="s">
        <v>68</v>
      </c>
    </row>
    <row r="5" spans="2:3">
      <c r="B5">
        <v>100</v>
      </c>
      <c r="C5" t="s">
        <v>69</v>
      </c>
    </row>
    <row r="9" spans="2:3">
      <c r="B9" t="s">
        <v>70</v>
      </c>
    </row>
    <row r="12" spans="2:3">
      <c r="B12" t="s">
        <v>71</v>
      </c>
    </row>
    <row r="14" spans="2:3">
      <c r="B14" t="s">
        <v>72</v>
      </c>
    </row>
    <row r="18" spans="2:3">
      <c r="B18" t="s">
        <v>73</v>
      </c>
      <c r="C18">
        <f>(1400+50)/15</f>
        <v>96.666666666666671</v>
      </c>
    </row>
    <row r="21" spans="2:3">
      <c r="B21" t="s">
        <v>74</v>
      </c>
      <c r="C21">
        <f>(1400+50)/100</f>
        <v>14.5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3"/>
  <sheetViews>
    <sheetView topLeftCell="A3" workbookViewId="0">
      <selection activeCell="B16" sqref="B16:E18"/>
    </sheetView>
  </sheetViews>
  <sheetFormatPr defaultRowHeight="15"/>
  <cols>
    <col min="4" max="4" width="11" bestFit="1" customWidth="1"/>
    <col min="8" max="8" width="11" bestFit="1" customWidth="1"/>
  </cols>
  <sheetData>
    <row r="3" spans="1:8">
      <c r="B3" t="s">
        <v>73</v>
      </c>
      <c r="C3">
        <v>92.31</v>
      </c>
    </row>
    <row r="4" spans="1:8">
      <c r="B4" t="s">
        <v>74</v>
      </c>
      <c r="C4">
        <v>93.64</v>
      </c>
    </row>
    <row r="5" spans="1:8">
      <c r="B5" s="16" t="s">
        <v>75</v>
      </c>
      <c r="C5" s="16">
        <v>106.8</v>
      </c>
    </row>
    <row r="6" spans="1:8">
      <c r="B6" t="s">
        <v>76</v>
      </c>
      <c r="C6">
        <v>108.33</v>
      </c>
    </row>
    <row r="8" spans="1:8">
      <c r="B8" s="18" t="s">
        <v>3</v>
      </c>
      <c r="C8" s="18"/>
      <c r="F8" s="19" t="s">
        <v>81</v>
      </c>
      <c r="G8" s="19"/>
    </row>
    <row r="9" spans="1:8">
      <c r="A9" t="s">
        <v>77</v>
      </c>
      <c r="B9" t="s">
        <v>82</v>
      </c>
      <c r="C9" t="s">
        <v>83</v>
      </c>
      <c r="D9" t="s">
        <v>84</v>
      </c>
      <c r="F9" t="s">
        <v>82</v>
      </c>
      <c r="G9" t="s">
        <v>83</v>
      </c>
      <c r="H9" t="s">
        <v>84</v>
      </c>
    </row>
    <row r="11" spans="1:8">
      <c r="A11" t="s">
        <v>78</v>
      </c>
      <c r="B11">
        <v>40</v>
      </c>
      <c r="C11" s="2">
        <v>10000</v>
      </c>
      <c r="D11">
        <f>40*10000</f>
        <v>400000</v>
      </c>
      <c r="F11">
        <v>50</v>
      </c>
      <c r="G11">
        <v>10000</v>
      </c>
      <c r="H11">
        <f>50*10000</f>
        <v>500000</v>
      </c>
    </row>
    <row r="12" spans="1:8">
      <c r="A12" t="s">
        <v>79</v>
      </c>
      <c r="B12">
        <v>30</v>
      </c>
      <c r="C12" s="2" t="s">
        <v>85</v>
      </c>
      <c r="D12">
        <f>30*6000</f>
        <v>180000</v>
      </c>
      <c r="F12">
        <v>20</v>
      </c>
      <c r="G12">
        <v>12000</v>
      </c>
      <c r="H12">
        <f>20*12000</f>
        <v>240000</v>
      </c>
    </row>
    <row r="13" spans="1:8">
      <c r="A13" t="s">
        <v>80</v>
      </c>
      <c r="B13">
        <v>50</v>
      </c>
      <c r="C13" s="2">
        <v>9000</v>
      </c>
      <c r="D13">
        <f>50*9000</f>
        <v>450000</v>
      </c>
      <c r="F13">
        <v>40</v>
      </c>
      <c r="G13">
        <v>9000</v>
      </c>
      <c r="H13">
        <f>40*9000</f>
        <v>360000</v>
      </c>
    </row>
    <row r="15" spans="1:8">
      <c r="D15">
        <f>400000+180000+450000</f>
        <v>1030000</v>
      </c>
      <c r="H15">
        <f>500000+240000+360000</f>
        <v>1100000</v>
      </c>
    </row>
    <row r="16" spans="1:8">
      <c r="B16" s="1" t="s">
        <v>86</v>
      </c>
      <c r="C16" s="1"/>
      <c r="D16" s="1"/>
      <c r="E16" s="1"/>
    </row>
    <row r="18" spans="2:11">
      <c r="B18" t="s">
        <v>87</v>
      </c>
    </row>
    <row r="21" spans="2:11">
      <c r="C21" t="s">
        <v>88</v>
      </c>
      <c r="F21" t="s">
        <v>89</v>
      </c>
      <c r="K21" s="1">
        <f>(1100000/1030000)*100</f>
        <v>106.79611650485437</v>
      </c>
    </row>
    <row r="23" spans="2:11">
      <c r="C23" t="s">
        <v>90</v>
      </c>
      <c r="F23" t="s">
        <v>91</v>
      </c>
    </row>
  </sheetData>
  <mergeCells count="2">
    <mergeCell ref="B8:C8"/>
    <mergeCell ref="F8:G8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1"/>
  <sheetViews>
    <sheetView workbookViewId="0">
      <selection activeCell="B2" sqref="B2:M4"/>
    </sheetView>
  </sheetViews>
  <sheetFormatPr defaultRowHeight="15"/>
  <sheetData>
    <row r="2" spans="2:11" ht="18.75">
      <c r="B2" s="5" t="s">
        <v>92</v>
      </c>
      <c r="C2" s="5"/>
      <c r="D2" s="5"/>
      <c r="E2" s="5"/>
      <c r="F2" s="5"/>
      <c r="G2" s="5"/>
      <c r="H2" s="5"/>
      <c r="I2" s="5"/>
      <c r="J2" s="5"/>
      <c r="K2" s="5"/>
    </row>
    <row r="3" spans="2:11" ht="18.75">
      <c r="B3" s="5" t="s">
        <v>93</v>
      </c>
      <c r="C3" s="5"/>
      <c r="D3" s="5"/>
      <c r="E3" s="5"/>
      <c r="F3" s="5"/>
      <c r="G3" s="5"/>
      <c r="H3" s="5"/>
      <c r="I3" s="5"/>
      <c r="J3" s="5"/>
      <c r="K3" s="5"/>
    </row>
    <row r="4" spans="2:11" ht="18.75">
      <c r="B4" s="5" t="s">
        <v>94</v>
      </c>
      <c r="C4" s="5"/>
      <c r="D4" s="5"/>
      <c r="E4" s="5"/>
      <c r="F4" s="5"/>
      <c r="G4" s="5"/>
      <c r="H4" s="5"/>
      <c r="I4" s="5"/>
      <c r="J4" s="5"/>
      <c r="K4" s="5"/>
    </row>
    <row r="6" spans="2:11">
      <c r="C6" t="s">
        <v>95</v>
      </c>
      <c r="F6" t="s">
        <v>96</v>
      </c>
    </row>
    <row r="8" spans="2:11">
      <c r="C8">
        <f>1243.2/1110</f>
        <v>1.1200000000000001</v>
      </c>
    </row>
    <row r="10" spans="2:11">
      <c r="B10" t="s">
        <v>98</v>
      </c>
      <c r="C10" t="s">
        <v>97</v>
      </c>
    </row>
    <row r="11" spans="2:11">
      <c r="C11">
        <f>56*1.12</f>
        <v>62.720000000000006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K19"/>
  <sheetViews>
    <sheetView workbookViewId="0">
      <selection activeCell="B15" sqref="B15:J15"/>
    </sheetView>
  </sheetViews>
  <sheetFormatPr defaultRowHeight="15"/>
  <cols>
    <col min="10" max="10" width="14" bestFit="1" customWidth="1"/>
    <col min="11" max="11" width="31.42578125" bestFit="1" customWidth="1"/>
  </cols>
  <sheetData>
    <row r="3" spans="2:11">
      <c r="J3" t="s">
        <v>96</v>
      </c>
      <c r="K3" t="s">
        <v>103</v>
      </c>
    </row>
    <row r="5" spans="2:11">
      <c r="D5" t="s">
        <v>3</v>
      </c>
      <c r="E5" t="s">
        <v>81</v>
      </c>
      <c r="J5" t="s">
        <v>104</v>
      </c>
      <c r="K5" t="s">
        <v>105</v>
      </c>
    </row>
    <row r="6" spans="2:11">
      <c r="C6" t="s">
        <v>99</v>
      </c>
      <c r="D6" s="7">
        <v>10872.48</v>
      </c>
      <c r="E6" s="7">
        <v>11722.98</v>
      </c>
    </row>
    <row r="7" spans="2:11">
      <c r="C7" t="s">
        <v>100</v>
      </c>
      <c r="D7" t="s">
        <v>101</v>
      </c>
      <c r="E7" s="7">
        <v>1527.46</v>
      </c>
      <c r="J7" t="s">
        <v>106</v>
      </c>
    </row>
    <row r="9" spans="2:11">
      <c r="J9" t="s">
        <v>104</v>
      </c>
      <c r="K9" t="s">
        <v>107</v>
      </c>
    </row>
    <row r="10" spans="2:11">
      <c r="G10" t="s">
        <v>99</v>
      </c>
      <c r="H10" t="s">
        <v>102</v>
      </c>
    </row>
    <row r="11" spans="2:11">
      <c r="F11" t="s">
        <v>73</v>
      </c>
      <c r="G11">
        <f>(11722.98/10872.48)-1</f>
        <v>7.8225023177784569E-2</v>
      </c>
      <c r="H11">
        <f>(1527.46/1265.32)-1</f>
        <v>0.20717288907153941</v>
      </c>
    </row>
    <row r="15" spans="2:11">
      <c r="B15" t="s">
        <v>109</v>
      </c>
    </row>
    <row r="17" spans="2:4">
      <c r="B17" t="s">
        <v>108</v>
      </c>
      <c r="C17">
        <f>1265.32*0.09</f>
        <v>113.87879999999998</v>
      </c>
    </row>
    <row r="19" spans="2:4">
      <c r="D19">
        <f>1265.32-113.8788</f>
        <v>1151.4412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H48"/>
  <sheetViews>
    <sheetView topLeftCell="A15" workbookViewId="0">
      <selection activeCell="G31" sqref="G31"/>
    </sheetView>
  </sheetViews>
  <sheetFormatPr defaultRowHeight="15"/>
  <cols>
    <col min="4" max="4" width="35.42578125" customWidth="1"/>
    <col min="5" max="5" width="22.5703125" bestFit="1" customWidth="1"/>
    <col min="7" max="7" width="10.28515625" bestFit="1" customWidth="1"/>
  </cols>
  <sheetData>
    <row r="2" spans="2:5">
      <c r="B2" t="s">
        <v>110</v>
      </c>
    </row>
    <row r="5" spans="2:5">
      <c r="C5" t="s">
        <v>111</v>
      </c>
    </row>
    <row r="8" spans="2:5">
      <c r="D8" s="6" t="s">
        <v>112</v>
      </c>
      <c r="E8" t="s">
        <v>113</v>
      </c>
    </row>
    <row r="9" spans="2:5">
      <c r="D9" s="6"/>
    </row>
    <row r="10" spans="2:5">
      <c r="D10" s="6">
        <v>10875</v>
      </c>
      <c r="E10" t="s">
        <v>114</v>
      </c>
    </row>
    <row r="13" spans="2:5">
      <c r="D13" t="s">
        <v>115</v>
      </c>
      <c r="E13">
        <v>1358</v>
      </c>
    </row>
    <row r="16" spans="2:5">
      <c r="C16" t="s">
        <v>116</v>
      </c>
      <c r="D16" t="s">
        <v>117</v>
      </c>
    </row>
    <row r="17" spans="2:6">
      <c r="D17" t="s">
        <v>118</v>
      </c>
    </row>
    <row r="18" spans="2:6">
      <c r="D18" t="s">
        <v>119</v>
      </c>
    </row>
    <row r="22" spans="2:6">
      <c r="D22" t="s">
        <v>120</v>
      </c>
    </row>
    <row r="26" spans="2:6">
      <c r="E26" t="s">
        <v>123</v>
      </c>
      <c r="F26" t="s">
        <v>121</v>
      </c>
    </row>
    <row r="29" spans="2:6">
      <c r="B29" t="s">
        <v>124</v>
      </c>
      <c r="E29" t="s">
        <v>122</v>
      </c>
      <c r="F29">
        <v>35.235640648</v>
      </c>
    </row>
    <row r="31" spans="2:6">
      <c r="F31">
        <f>(35.23564/105)*100</f>
        <v>33.55775238095238</v>
      </c>
    </row>
    <row r="35" spans="2:8">
      <c r="B35" t="s">
        <v>128</v>
      </c>
    </row>
    <row r="36" spans="2:8">
      <c r="B36" t="s">
        <v>125</v>
      </c>
    </row>
    <row r="37" spans="2:8">
      <c r="B37" t="s">
        <v>126</v>
      </c>
    </row>
    <row r="38" spans="2:8">
      <c r="B38" t="s">
        <v>127</v>
      </c>
    </row>
    <row r="41" spans="2:8">
      <c r="D41" t="s">
        <v>115</v>
      </c>
      <c r="E41">
        <v>1358</v>
      </c>
    </row>
    <row r="42" spans="2:8">
      <c r="D42" t="s">
        <v>129</v>
      </c>
      <c r="E42">
        <v>10875</v>
      </c>
    </row>
    <row r="43" spans="2:8">
      <c r="D43" t="s">
        <v>9</v>
      </c>
      <c r="E43" s="8" t="s">
        <v>130</v>
      </c>
    </row>
    <row r="45" spans="2:8">
      <c r="D45" t="s">
        <v>9</v>
      </c>
      <c r="E45" t="s">
        <v>131</v>
      </c>
    </row>
    <row r="46" spans="2:8">
      <c r="G46" t="s">
        <v>133</v>
      </c>
      <c r="H46">
        <v>1334.25</v>
      </c>
    </row>
    <row r="47" spans="2:8">
      <c r="E47" t="s">
        <v>132</v>
      </c>
    </row>
    <row r="48" spans="2:8">
      <c r="E48">
        <f>1334.25/10875</f>
        <v>0.12268965517241379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Price Weighted Index</vt:lpstr>
      <vt:lpstr>Description</vt:lpstr>
      <vt:lpstr>Value Weighted Index</vt:lpstr>
      <vt:lpstr>Equal Weighted Index</vt:lpstr>
      <vt:lpstr>Q. 4.1</vt:lpstr>
      <vt:lpstr>q4.2</vt:lpstr>
      <vt:lpstr>Q 4.3</vt:lpstr>
      <vt:lpstr>Comp prob 4.2</vt:lpstr>
      <vt:lpstr>Comp prob 4.1</vt:lpstr>
      <vt:lpstr>Risk and Return</vt:lpstr>
      <vt:lpstr>Return &amp; Risk 1</vt:lpstr>
      <vt:lpstr>Risk &amp; Returns 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2020-04-29T06:56:44Z</dcterms:modified>
</cp:coreProperties>
</file>